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01"/>
  <workbookPr/>
  <bookViews>
    <workbookView xWindow="65416" yWindow="65416" windowWidth="29040" windowHeight="17520" tabRatio="429" activeTab="0"/>
  </bookViews>
  <sheets>
    <sheet name="VÝKAZ VÝMĚR" sheetId="1" r:id="rId1"/>
  </sheets>
  <definedNames>
    <definedName name="__xlnm.Print_Area_1">'VÝKAZ VÝMĚR'!$A$61:$J$381</definedName>
    <definedName name="Excel_BuiltIn_Print_Area_1_1">'VÝKAZ VÝMĚR'!$A$61:$J$381</definedName>
    <definedName name="Excel_BuiltIn_Print_Area_1_1_1">'VÝKAZ VÝMĚR'!$A$61:$J$381</definedName>
    <definedName name="Excel_BuiltIn_Print_Area_1_1_1_1">'VÝKAZ VÝMĚR'!$A$107:$J$381</definedName>
    <definedName name="Excel_BuiltIn_Print_Area_2">"#REF!"</definedName>
    <definedName name="Excel_BuiltIn_Print_Area_2_1">"#REF!"</definedName>
    <definedName name="_xlnm.Print_Area" localSheetId="0">'VÝKAZ VÝMĚR'!$A$1:$J$382</definedName>
  </definedNames>
  <calcPr calcId="191029"/>
  <extLst/>
</workbook>
</file>

<file path=xl/sharedStrings.xml><?xml version="1.0" encoding="utf-8"?>
<sst xmlns="http://schemas.openxmlformats.org/spreadsheetml/2006/main" count="853" uniqueCount="369">
  <si>
    <t>Náklady za rostlinný materiál</t>
  </si>
  <si>
    <t>latinský název</t>
  </si>
  <si>
    <t>český název</t>
  </si>
  <si>
    <t>výsadbová velikost</t>
  </si>
  <si>
    <t>cena za kus</t>
  </si>
  <si>
    <t>Celkem za rostlinný materiál bez DPH</t>
  </si>
  <si>
    <t>levandule lékařská</t>
  </si>
  <si>
    <t xml:space="preserve">název </t>
  </si>
  <si>
    <t>celkem</t>
  </si>
  <si>
    <t>ks</t>
  </si>
  <si>
    <t>Odstranění pařezu o průměru do 200 mm do hloubky min. 30 cm   průměru kmene, vč. likvidace vytěženého odpadu</t>
  </si>
  <si>
    <t>Odstranění pařezu o průměru 200 - 300 mm do hloubky min. 30 cm, vč. likvidace vytěženého odpadu</t>
  </si>
  <si>
    <t>Odstranění pařezu o průměru 300 - 400 mm do hloubky min. 30 cm , vč. likvidace vytěženého odpadu</t>
  </si>
  <si>
    <t>Odstranění pařezu o průměru 500 - 600 mm do hloubky min. 30 cm , vč. likvidace vytěženého odpadu</t>
  </si>
  <si>
    <t>m2</t>
  </si>
  <si>
    <t>m3</t>
  </si>
  <si>
    <t xml:space="preserve">Příprava záhonů </t>
  </si>
  <si>
    <t xml:space="preserve">Příprava záhonů – celkem </t>
  </si>
  <si>
    <t>kg</t>
  </si>
  <si>
    <t>Výsadba alejového stromu s balem</t>
  </si>
  <si>
    <t xml:space="preserve">Založení trávníku zahradnickým způsobem včetně ceny osiva a první seče </t>
  </si>
  <si>
    <t xml:space="preserve">Založení trávníku zahradnickým způsobem včetně ceny osiva – celkem </t>
  </si>
  <si>
    <t>Hnojení půdy nebo trávníku v rovině nebo ve svahu 1:5 umělým hnojivem na široko</t>
  </si>
  <si>
    <t>t</t>
  </si>
  <si>
    <t>Položení mulčovací textílie proti prorůstnání plevelů kolem vysázených rostlin v rovině nebo na svahu 1:5</t>
  </si>
  <si>
    <t>Mulčování vysazených rostlin mulčovací kůrou, tloušťky do 100 mm na rovině nebo svahu do 1:5</t>
  </si>
  <si>
    <t>Zhotovení obalu kmene z rákosové nebo kokosové rohože v jedné vrstvě v rovině nebo na svahu do 1:5</t>
  </si>
  <si>
    <t>R</t>
  </si>
  <si>
    <t>specifikace</t>
  </si>
  <si>
    <t>184 91-1421</t>
  </si>
  <si>
    <t>184 50-1141</t>
  </si>
  <si>
    <t>185 80-2113</t>
  </si>
  <si>
    <t>Chemické odplevelení půdy před založením kultury, trávníku nebo zpevněných ploch o výměře přes 20 m2 v rovině nebo na svahu 1:5 postřikem na široko</t>
  </si>
  <si>
    <t>183 40-3153</t>
  </si>
  <si>
    <t>Odstranění nevhodných dřevin průměru kmene do 100 mm</t>
  </si>
  <si>
    <t xml:space="preserve">Odstranění nevhodných dřevin průměru kmene do 100 mm – celkem </t>
  </si>
  <si>
    <t>184 91-1311</t>
  </si>
  <si>
    <t>112 20-1111</t>
  </si>
  <si>
    <t>112 20-1112</t>
  </si>
  <si>
    <t>112 20-1113</t>
  </si>
  <si>
    <t>112 20-1115</t>
  </si>
  <si>
    <t>l</t>
  </si>
  <si>
    <t>183 10-1213</t>
  </si>
  <si>
    <t>Hloubení jamek pro vysazování rostlin v zemině 1 až 4 s výměnou půdy na 50 % v rovině nebo na svahu do 1:5, objemu přes 0,02 m3 do 0,05 m3</t>
  </si>
  <si>
    <t>184 21-5132</t>
  </si>
  <si>
    <t>Ukotvení dřeviny třemi kůly, délky přes 1 do 2 m průměru do 100 mm</t>
  </si>
  <si>
    <t>184 80-2111</t>
  </si>
  <si>
    <t>Dodání kůlů délky 2500 mm, průměru 60 mm (3 ks k jedné dřevině), vč. ceny dopravy materiálu</t>
  </si>
  <si>
    <t>Dodání příčníků délky 500 mm, průměru 60 mm (3 ks k jedné dřevině), vč. ceny dopravy materiálu</t>
  </si>
  <si>
    <t>Dodání úvazku (3 ks k jedné dřevině) , vč. ceny dopravy materiálu</t>
  </si>
  <si>
    <t>Dodávka kokosové rohože na zhotovení obalu kmene, vč. ceny dopravy materiálu</t>
  </si>
  <si>
    <t>112 20-1114</t>
  </si>
  <si>
    <t xml:space="preserve">Výsadba kontejnerového keře </t>
  </si>
  <si>
    <t>184 21-5412</t>
  </si>
  <si>
    <t>Zhotovení závlahové mísy u soliterních dřevin v rovině nebo na svahu do 1:5, o průměru mísy přes 0,5 do 1 m</t>
  </si>
  <si>
    <t xml:space="preserve">Výsadba dřeviny s balem do předem vyhloubené jamky se zalitím v rovině nebo na svahu do 1:5, při průměru balu přes 200 do 300 mm </t>
  </si>
  <si>
    <t>184 10-2112</t>
  </si>
  <si>
    <t>111 15-1121</t>
  </si>
  <si>
    <t>111 11-1411</t>
  </si>
  <si>
    <t xml:space="preserve">Obdělávání půdy hrabáním v rovině  nebo na svahu do 1:5 </t>
  </si>
  <si>
    <t>112 20-1117</t>
  </si>
  <si>
    <t>Odstranění pařezu o průměru  700 - 800 mm do hloubky min. 30 cm, vč. likvidace vytěženého odpadu</t>
  </si>
  <si>
    <t>Odstranění pařezu o průměru 600 - 700 mm do hloubky min. 30 cm , vč. likvidace vytěženého odpadu</t>
  </si>
  <si>
    <t>112 20-1116</t>
  </si>
  <si>
    <t>Hloubení jamek pro vysazování rostlin v zemině 1 až 4 s výměnou půdy na 50 % v rovině nebo na svahu do 1:5, objemu přes 0,01 do 0,02 m3</t>
  </si>
  <si>
    <t>184 10-2111</t>
  </si>
  <si>
    <t>Výsadba dřeviny s balem do předem vyhloubené jamky se zalitím v rovině nebo na svahu do 1:5, při průměru balu přes  100 mm do 200 mm</t>
  </si>
  <si>
    <t>Hloubení jamek pro vysazování rostlin v zemině 1 až 4 s výměnou půdy na 50 % na svahu  přes 1:2 do 1:1, objemu přes 0,01 m3 do 0,02 m3</t>
  </si>
  <si>
    <t>184 10-2131</t>
  </si>
  <si>
    <t xml:space="preserve">Výsadba dřeviny s balem do předem vyhloubené jamky se zalitím na svahu přes 1:2 do 1:1, při průměru balu přes 100 do 200 mm </t>
  </si>
  <si>
    <t>184 91-1313</t>
  </si>
  <si>
    <t>182 11-1111</t>
  </si>
  <si>
    <t>Chemické odplevelení půdy před založením kultury, trávníku nebo zpevněných ploch o výměře přes 20 m2 na svahu přes 1:2 do 1:1 postřikem na široko</t>
  </si>
  <si>
    <t>181 11-4711</t>
  </si>
  <si>
    <t>183 40-3114</t>
  </si>
  <si>
    <t>Obdělání půdy kultivátorováním, v rovině nebo na svahu do 1:5</t>
  </si>
  <si>
    <t xml:space="preserve">Dovoz materiálu do 20 km na místo </t>
  </si>
  <si>
    <t>181 30-1101</t>
  </si>
  <si>
    <t>Rozprostření a urovnání ornice v rovině nebo  ve svahu sklonu do 1:5, do 500 m2, tl. vrstvy do 100 mm</t>
  </si>
  <si>
    <t>Pokosení trávníku při souvislé ploše do 1 000 m2 parkového v rovině nebo svahu do 1:5, 3x</t>
  </si>
  <si>
    <t>111 11-1414</t>
  </si>
  <si>
    <t>Odstranění stařiny ze souvislé plochy do 100 m2 ve svahu přes 1:1</t>
  </si>
  <si>
    <t>Odstranění stařiny ze souvislé plochy do 100 m2 v rovině nebo ve svahu do 1:5</t>
  </si>
  <si>
    <t>Dodávka totální herbicid např. Roundup 0,0008 l, vč. ceny dopravy materiálu</t>
  </si>
  <si>
    <t>Dodávka mulčovací kůry tl. vrstvy 0,1 m, vč. ceny dopravy materiálu</t>
  </si>
  <si>
    <t xml:space="preserve">Dodání travního osiva (Parková směs) při výsevku 250 kg/ha </t>
  </si>
  <si>
    <t>Trávníkové hnojivo 30 g/m2, vč. ceny dopravy materiálu</t>
  </si>
  <si>
    <t>Pěstební substrát 0,01 m3 / 1 ks, včetně ceny dopravy materiálu</t>
  </si>
  <si>
    <t>Pěstební substrát  0,025 m3 / 1 ks, včetně ceny dopravy materiálu</t>
  </si>
  <si>
    <t>Hloubení jamek pro vysazování rostlin v zemině 1 až 4 s výměnou půdy na 50 % na svahu  přes 1:2 do 1:1, objemu přes 0,02 m3 do 0,05 m3</t>
  </si>
  <si>
    <t xml:space="preserve">Výsadba dřeviny s balem do předem vyhloubené jamky se zalitím na svahu přes 1:2 do 1:1, při průměru balu přes 200 do 300 mm </t>
  </si>
  <si>
    <t>183 10-5213</t>
  </si>
  <si>
    <t>184 10-2132</t>
  </si>
  <si>
    <t>Dodávka kokosové rohože 540 g/m2, + 5 % překrytí, včetně trnů na záhony ve svazích přes 1:2 do 1:1, vč. ceny dopravy materiálu</t>
  </si>
  <si>
    <t>Dodávka plastové chráničky proti okusu výšky 120 cm</t>
  </si>
  <si>
    <t>Ochrana dřevin před okusem zvěří mechanicky v rovině nebo ve svahu do 1:5, pletivem, výšky do 2 m</t>
  </si>
  <si>
    <t>184 81-3121</t>
  </si>
  <si>
    <t>počet kusů</t>
  </si>
  <si>
    <t>cena celkem bez DPH</t>
  </si>
  <si>
    <t>Kácení stromů směrové v celku s odřezáním kmene a s odvětvením</t>
  </si>
  <si>
    <t>Kácení stromů postupné bez spouštění částí kmene a koruny</t>
  </si>
  <si>
    <t>Výškový prořez stromů   prováděný lezeckou technikou</t>
  </si>
  <si>
    <t>do 30 m2</t>
  </si>
  <si>
    <t>přes 30 do 60 m2</t>
  </si>
  <si>
    <t>přes 60 do 90 m2</t>
  </si>
  <si>
    <t>přes 90 do 120 m2</t>
  </si>
  <si>
    <t>přes 150 do 180 m2</t>
  </si>
  <si>
    <t xml:space="preserve">Řez zdravotní, plocha koruny stromu </t>
  </si>
  <si>
    <t xml:space="preserve">Řez zdravotní  – celkem </t>
  </si>
  <si>
    <t>184 85-2211</t>
  </si>
  <si>
    <t>184 85-2212</t>
  </si>
  <si>
    <t>184 85-2213</t>
  </si>
  <si>
    <t>184 85-2214</t>
  </si>
  <si>
    <t>184 85-2216</t>
  </si>
  <si>
    <t>183 11-1214</t>
  </si>
  <si>
    <t>184 80-2311</t>
  </si>
  <si>
    <t>185 80-4514</t>
  </si>
  <si>
    <t>Založení trávníku na půdě předem připravené plochy do 1000 m2 výsevem včetně utažení parkového v rovině nebo na svahu do 1:5</t>
  </si>
  <si>
    <t>181 41-1131</t>
  </si>
  <si>
    <t>Zhotovení závlahové mísy u soliterních dřevin v rovině nebo na svahu do 1:5 o průměru mísy přes 0,5 do 1,0 m (1x / rok)</t>
  </si>
  <si>
    <t>185 80-4312</t>
  </si>
  <si>
    <t>Mulčování vysazených rostlin mulčovací kůrou, tloušťky do 100 mm na rovině nebo svahu do 1:5 (1x / rok)</t>
  </si>
  <si>
    <t>Znovuuvázání dřeviny jedním úvazkem ke stávajícímu kůlu, vč. ceny úvazku (počítáno pro 50% dřevin)</t>
  </si>
  <si>
    <t>Dodávka totální herbicid v dávce  0,0008 l/m2 , vč. ceny dopravy materiálu</t>
  </si>
  <si>
    <t>Následná péče o výsadby v 1. roce</t>
  </si>
  <si>
    <t xml:space="preserve">Následná péče o výsadby v 1. roce - stromy </t>
  </si>
  <si>
    <t>Následná péče o výsadby v 1. roce - stromy - celkem</t>
  </si>
  <si>
    <t xml:space="preserve">Následná péče o výsadby v 1. roce - keřové výsadby </t>
  </si>
  <si>
    <t>Následná péče o výsadby v 1. roce - keřové výsadby - celkem</t>
  </si>
  <si>
    <t>Následná péče o výsadby v 1. roce - celkem</t>
  </si>
  <si>
    <t>Dodávka mulčovací kůry vrstva mulče 0,10 m, vč. ceny dopravy materiálu (1x / rok)</t>
  </si>
  <si>
    <t>Dodávka mulčovací kůry (vrstva mulče 0,10 m), vč. ceny dopravy materiálu</t>
  </si>
  <si>
    <t>pozn.: u každé dřeviny bude individuálně posouzen rozsah navrhovaného zásahu</t>
  </si>
  <si>
    <t>185 80-3111</t>
  </si>
  <si>
    <t xml:space="preserve">Ošetření trávníku jednorázově v rovině nebo na svahu do 1:5 (odplevelovací seč na vysoko s odstraněním posečené hmoty) </t>
  </si>
  <si>
    <t xml:space="preserve">Založení květnaté louky zahradnickým způsobem včetně ceny osiva – celkem </t>
  </si>
  <si>
    <t xml:space="preserve">Založení květnaté louky zahradnickým způsobem včetně ceny osiva a první seče </t>
  </si>
  <si>
    <t>Vytyčení rozmístění rostlin na záhony</t>
  </si>
  <si>
    <t>Vytyčení výsadeb stromů</t>
  </si>
  <si>
    <t>184 21-5432</t>
  </si>
  <si>
    <t>Zhotovení závlahové mísy u soliterních dřevin v rovině nebo na svahu přes 1:2 do 1:1, o průměru mísy přes 0,5 do 1 m</t>
  </si>
  <si>
    <t>Odstranění kamene z pozemku sebráním kamene, hmotnosti jednotlivě do 15 kg</t>
  </si>
  <si>
    <t>Založení trávníku na půdě předem připravené plochy do 1000 m2 výsevem včetně utažení lučního v rovině nebo na svahu do 1:5</t>
  </si>
  <si>
    <t>181 41 - 1121</t>
  </si>
  <si>
    <t>184 80-2631</t>
  </si>
  <si>
    <t>Vytyčení záhonů v prostoru</t>
  </si>
  <si>
    <t>Pokosení trávníku při souvislé ploše do 1 000 m2 lučního v rovině nebo svahu do 1:5</t>
  </si>
  <si>
    <t>111 15-1131</t>
  </si>
  <si>
    <t>Odstranění pařezu o průměru 200 - 300 mm do hloubky min. 30 cm, vč. likvidace vytěženého odpadu a doplnění zeminy</t>
  </si>
  <si>
    <t>Odstranění pařezu o průměru 300 - 400 mm do hloubky min. 30 cm , vč. likvidace vytěženého odpadu a doplnění zeminy</t>
  </si>
  <si>
    <t>Odstranění pařezu o průměru 400 - 500 mm do hloubky min. 30 cm , vč. likvidace vytěženého odpadu a doplnění zeminy</t>
  </si>
  <si>
    <t>Dodávka tříděné zeminy bonity I. včetně dopravy</t>
  </si>
  <si>
    <t>přes 120 do 150 m2</t>
  </si>
  <si>
    <t>přes 180 do 210 m2</t>
  </si>
  <si>
    <t>184 85-2215</t>
  </si>
  <si>
    <t>184 85-2217</t>
  </si>
  <si>
    <t>m.j.</t>
  </si>
  <si>
    <t>Odvoz dřevní hmoty na místo určené obcí ke skladování</t>
  </si>
  <si>
    <t>Kácení stromu, průměr kmene 100 - 200 mm</t>
  </si>
  <si>
    <t>Kácení stromu, průměr kmene 200 – 300 mm</t>
  </si>
  <si>
    <t>Kácení stromu, průměr kmene 300 – 400 mm</t>
  </si>
  <si>
    <t>Kácení stromu, průměr kmene 400 – 500 mm</t>
  </si>
  <si>
    <t>Kácení stromu, průměr kmene 500 – 600 mm</t>
  </si>
  <si>
    <t>Kácení stromu, průměr kmene 600 - 700 mm</t>
  </si>
  <si>
    <t>Kácení stromu, průměr kmene 700 - 800 mm</t>
  </si>
  <si>
    <t>184 91-1111</t>
  </si>
  <si>
    <t>185 80-4513</t>
  </si>
  <si>
    <t>Kácení stromu, průměr kmene 100 - 200 mm – celkem</t>
  </si>
  <si>
    <t>Kácení stromu, průměr kmene 200 – 300 mm – celkem</t>
  </si>
  <si>
    <t>Kácení stromu, průměr kmene 300 – 400 mm – celkem</t>
  </si>
  <si>
    <t>Kácení stromu, průměr kmene 400 – 500 mm – celkem</t>
  </si>
  <si>
    <t>Kácení stromu, průměr kmene 600 - 700 mm – celkem</t>
  </si>
  <si>
    <t>Kácení stromu, průměr kmene 700 - 800 mm – celkem</t>
  </si>
  <si>
    <t>Kácení stromu, průměr kmene 500 – 600 mm – celkem</t>
  </si>
  <si>
    <t>Dodávka mulčovací kůry tl. vrstvy 0,1 m, vč. dopravy</t>
  </si>
  <si>
    <t>185 85-1121</t>
  </si>
  <si>
    <t>Dovoz vody pro zálivku rostlin na vzdálenost do 1000 m</t>
  </si>
  <si>
    <t>183 11-5214</t>
  </si>
  <si>
    <t>Ošetření vysazených dřevin solitérních v rovině nebo na svahu do 1:5</t>
  </si>
  <si>
    <t>184 80-1121</t>
  </si>
  <si>
    <t>Ošetření vysazených dřevin solitérních v rovině nebo na svahu přes 1:2 do 1:1</t>
  </si>
  <si>
    <t>184 80-1123</t>
  </si>
  <si>
    <t>Ošetření vysazených dřevin ve skupinách v rovině nebo na svahu do 1:5</t>
  </si>
  <si>
    <t>184 80-1131</t>
  </si>
  <si>
    <t>184 80-1133</t>
  </si>
  <si>
    <t>Ošetření vysazených dřevin ve skupinách na svahu přes 1:2 do 1:1</t>
  </si>
  <si>
    <t>183 10-1221</t>
  </si>
  <si>
    <t>Hloubení jamek pro vysazování rostlin v zemině 1 až 4 s výměnou půdy na 50 % v rovině nebo na svahu do 1:5, objemu přes 0,40 m3 do 1,00 m3</t>
  </si>
  <si>
    <t>Hloubení jamek pro vysazování rostlin v zemině 1 až 4 s výměnou půdy na 50 % na svahu přes 1:2 do 1:1, objemu přes 0,40 m3 do 1,0 m3</t>
  </si>
  <si>
    <t>183 10-5221</t>
  </si>
  <si>
    <t>Výsadba dřeviny s balem do předem vyhloubené jamky se zalitím v rovině nebo ve svahu 1:5 při průměru balu přes 400 do 500 mm</t>
  </si>
  <si>
    <t>184 10-2114</t>
  </si>
  <si>
    <t>Výsadba dřeviny s balem do předem vyhloubené jamky se zalitím na svahu přes 1:2 do 1:1, při průměru balu přes 400 do 500 mm</t>
  </si>
  <si>
    <t>184 10-2134</t>
  </si>
  <si>
    <t>Povýsadbový řez vysazených stromů vč. Likvidace odpadu</t>
  </si>
  <si>
    <t>Doprava rostlinného materiálu</t>
  </si>
  <si>
    <t>kpl</t>
  </si>
  <si>
    <t>Náklady na dopravu pro 1. rok následné péče</t>
  </si>
  <si>
    <t>Výsadba kontejnerového keře – celkem</t>
  </si>
  <si>
    <t xml:space="preserve">Travní osivo (směs na slunce) při výsevku 10-12 g / 1 m2 </t>
  </si>
  <si>
    <t>Levín</t>
  </si>
  <si>
    <t>Nad Stadionem</t>
  </si>
  <si>
    <t>12 - 14</t>
  </si>
  <si>
    <t>Aesculus hippocastanum</t>
  </si>
  <si>
    <t>jírovec maďal</t>
  </si>
  <si>
    <t>Fagus sylvatica 'Fastigiata'</t>
  </si>
  <si>
    <t>buk lesní</t>
  </si>
  <si>
    <t>100 - 150</t>
  </si>
  <si>
    <t>Juglans regia</t>
  </si>
  <si>
    <t>ořešák královský</t>
  </si>
  <si>
    <t>10 - 12</t>
  </si>
  <si>
    <t xml:space="preserve">Prunus avium 'Plena' </t>
  </si>
  <si>
    <t>třešeň ptačí</t>
  </si>
  <si>
    <t xml:space="preserve">Tilia cordata </t>
  </si>
  <si>
    <t>lípa malolistá (srdčitá)</t>
  </si>
  <si>
    <t>Stromy alejového typu s balem - výsadba do roviny</t>
  </si>
  <si>
    <t xml:space="preserve">Stromy alejového typu s balem - výsadba do roviny – celkem </t>
  </si>
  <si>
    <t>Stromy alejového typu s balem - výsadba do svahu</t>
  </si>
  <si>
    <t xml:space="preserve">Stromy alejového typu s balem - výsadba do svahu – celkem </t>
  </si>
  <si>
    <t xml:space="preserve">Pinus sylvestris </t>
  </si>
  <si>
    <t>borovice lesní</t>
  </si>
  <si>
    <t>175-200</t>
  </si>
  <si>
    <t>Prunus avium</t>
  </si>
  <si>
    <t>slivoň</t>
  </si>
  <si>
    <t>Sorbus aucuparia</t>
  </si>
  <si>
    <t>jeřáb obecný</t>
  </si>
  <si>
    <t>60 - 80</t>
  </si>
  <si>
    <t>Nižší keře a půdopokryvné rostliny - výsadba do roviny</t>
  </si>
  <si>
    <t>Nižší keře a půdopokryvné rostliny - výsadba do roviny - celkem</t>
  </si>
  <si>
    <t>ořechokřídlec clandonský</t>
  </si>
  <si>
    <t>20 - 30</t>
  </si>
  <si>
    <t>10 - 20</t>
  </si>
  <si>
    <t>Hypericum calycinum</t>
  </si>
  <si>
    <t>třezalka kalíškatá</t>
  </si>
  <si>
    <t>Lonicera pileata</t>
  </si>
  <si>
    <t>zimolez kloboukatý</t>
  </si>
  <si>
    <t>mochna křovitá</t>
  </si>
  <si>
    <t>Potentilla fruticosa 'Goldteppich'</t>
  </si>
  <si>
    <t>půdopokryvná růže</t>
  </si>
  <si>
    <t>Rosa - půdopokryvná bíle kvetoucí</t>
  </si>
  <si>
    <t>Rosa pimpinellifolia</t>
  </si>
  <si>
    <t>růže bedrníkolistá</t>
  </si>
  <si>
    <t>tavolník nízký</t>
  </si>
  <si>
    <t>tavolník japonský</t>
  </si>
  <si>
    <t>Spiraea japonica 'Shirobana'</t>
  </si>
  <si>
    <t>korunatka klaná</t>
  </si>
  <si>
    <t>40 - 60</t>
  </si>
  <si>
    <t>Nižší keře a půdopokryvné rostliny - výsadba do svahu</t>
  </si>
  <si>
    <t>Nižší keře a půdopokryvné rostliny - výsadba do svahu - celkem</t>
  </si>
  <si>
    <t>Caryopteris x clandonensis 'Ferndown'</t>
  </si>
  <si>
    <t>Vyšší keře - výsadba do roviny</t>
  </si>
  <si>
    <t>Vyšší keře - výsadba do roviny - celkem</t>
  </si>
  <si>
    <t>dřišťál Thunbergův</t>
  </si>
  <si>
    <t>Forsythia x intermedia</t>
  </si>
  <si>
    <t>zlatice prostřední</t>
  </si>
  <si>
    <t>Viburnum opulus</t>
  </si>
  <si>
    <t>kalina obecná</t>
  </si>
  <si>
    <t>Vyšší keře - výsadba do svahu</t>
  </si>
  <si>
    <t>Vyšší keře - výsadba do svahu - celkem</t>
  </si>
  <si>
    <t>Berberis thunbergii 'Atropurpurea'</t>
  </si>
  <si>
    <t>Odstranění odpadu a betonového odpadu</t>
  </si>
  <si>
    <t>Odstranění odpadu a betonového odpadu - celkem</t>
  </si>
  <si>
    <t>Odstranění odpadu a betonového odpadu včetně uložení odpadu na skládku a skládkovné</t>
  </si>
  <si>
    <t>Vyjmutí stromu k přesazení</t>
  </si>
  <si>
    <t>Trávníkový pěstební substrát tl. vrstvy 0,05 m (násobeno koeficientem slehnutí zeminy 1,2), vč. dopravy materiálu</t>
  </si>
  <si>
    <t>Výměna stávajícího půdního profilu v případě nepředpokládaného znečištění odpadem, sutí, kamenivem, včetně odvozu nevyhovujícího materiálu a navážky zeminy bonity I.</t>
  </si>
  <si>
    <t xml:space="preserve">Půdní přípravek pro zpevnění povrchu půdy pro ochranu před vodní a větrnou erozí (aplikace 40 g / m2) </t>
  </si>
  <si>
    <t>Odstranění tyčí a klepadel</t>
  </si>
  <si>
    <t>Odstranění tyčí a klepadel - celkem</t>
  </si>
  <si>
    <t>181 00-6113</t>
  </si>
  <si>
    <t>Rozprostření zemin schopných zúrodnění  v rovině a ve sklonu do 1:5,  tl. vrstvy přes 0,1 do 0,2 m</t>
  </si>
  <si>
    <t>Odstranění tyčí a klepadel odfrézováním, vykopání betonových patek, zahrnutí zeminou, osetí osivem</t>
  </si>
  <si>
    <t xml:space="preserve">Acer platanoides </t>
  </si>
  <si>
    <t xml:space="preserve">Stephanandra incisa 'Crispa' </t>
  </si>
  <si>
    <t xml:space="preserve">Berberis thunbergii 'Atropurpurea Nana' </t>
  </si>
  <si>
    <t>Ostatní práce</t>
  </si>
  <si>
    <t>Ostatní práce - celkem</t>
  </si>
  <si>
    <t xml:space="preserve">Náklady za práce - sadové úpravy </t>
  </si>
  <si>
    <t>Odvoz odpadu na skládku</t>
  </si>
  <si>
    <t>Skládkovné</t>
  </si>
  <si>
    <t>Instalace zavlažovacích vaků ke stromů – nové výsadby, vč. visacího zámku, číselný kod</t>
  </si>
  <si>
    <t xml:space="preserve">dodávka zavlažovacích vaků, objem 100 l, polyethylen, zelená barva, vč.dopravy </t>
  </si>
  <si>
    <t>Stavba:</t>
  </si>
  <si>
    <t>Místo:</t>
  </si>
  <si>
    <t>Objednatel:</t>
  </si>
  <si>
    <t>Datum:</t>
  </si>
  <si>
    <t>Zhotovitel:</t>
  </si>
  <si>
    <t>Projektant:</t>
  </si>
  <si>
    <t>Living in green s.r.o.</t>
  </si>
  <si>
    <t>Palackého 70</t>
  </si>
  <si>
    <t>252 29 Dobřichovice</t>
  </si>
  <si>
    <t>IČO: 24828301</t>
  </si>
  <si>
    <t>DIČ: CZ24828301</t>
  </si>
  <si>
    <t>Vypracoval:</t>
  </si>
  <si>
    <t>Cena s DPH 21 %</t>
  </si>
  <si>
    <t>Náklady za práce - kácení dřevin</t>
  </si>
  <si>
    <t>Náklady za práce - arboristické zásahy</t>
  </si>
  <si>
    <t>Náklady za práce - sadové práce</t>
  </si>
  <si>
    <t xml:space="preserve">Následná péče o výsadby po dobu tří let </t>
  </si>
  <si>
    <t>Cena celkem bez DPH</t>
  </si>
  <si>
    <t>Sazba DPH - 21 %</t>
  </si>
  <si>
    <t xml:space="preserve">Cena s DPH </t>
  </si>
  <si>
    <t>katastr města Králův Dvůr</t>
  </si>
  <si>
    <t>město Králův Dvůr</t>
  </si>
  <si>
    <t>náměstí Míru 139</t>
  </si>
  <si>
    <t>267 01 Králův Dvůr u Berouna</t>
  </si>
  <si>
    <t>Náklady za práce - arboristické zásahy - celkem</t>
  </si>
  <si>
    <t>Kácení stromů - celkem</t>
  </si>
  <si>
    <t>Odstranění pařezu, průměr kmene 400 – 500 mm</t>
  </si>
  <si>
    <t>Odstranění pařezu, průměr kmene 400 – 500 mm – celkem</t>
  </si>
  <si>
    <t>Potentilla fruticosa 'Kobold'</t>
  </si>
  <si>
    <t xml:space="preserve">Výsadba alej. stromu s balem do jamek  – celkem </t>
  </si>
  <si>
    <t>VRN (zařízení staveniště, vytyčení inženýrských sítí)</t>
  </si>
  <si>
    <t>Odstranění nevhodných dřevin průměru kmene do 100 mm výšky přes 1 m s odstraněním pařezu přes 100 do 500 m2 v rovině nebo na svahu do 1:5 včetně likvidace dřevní hmoty, naložení, odvezení na místo určené městem ke skládkování biologického materiálu</t>
  </si>
  <si>
    <t>Štěpkování získané dřevní hmoty a odvezení na místo určené městem ke skládkování biologického materiálu</t>
  </si>
  <si>
    <t>Uložení biologického materiálu a odvezení na místo určené městem ke skládkování biologického materiálu</t>
  </si>
  <si>
    <t>Uložení biologického materiálu na skládku a odvezení na místo určené městem ke skládkování biologického materiálu</t>
  </si>
  <si>
    <t xml:space="preserve">Následná péče o výsadby ve 1. roce - květnaté louky a trávníky </t>
  </si>
  <si>
    <t>Odplevelovací seč do 10000 m2 (1x / rok)</t>
  </si>
  <si>
    <t>Následná péče o výsadby ve 1. roce - květnaté louky a trávníky - celkem</t>
  </si>
  <si>
    <t>Naplnění zavlažovacích vaků vodou v dávce 100 l k jednomu stromu (5x / rok, 100 l / ks)</t>
  </si>
  <si>
    <t>Odplevelení výsadeb v rovině nebo na svahu do 1:5 dřevin solitérních včetně likvidace odpadu, naložení, odvezení a se složením (1x / rok)</t>
  </si>
  <si>
    <t>Zalití rostlin vodou plochy záhonů přes 20 m2 (5x / rok, 20 l / m2)</t>
  </si>
  <si>
    <t>Odplevelení výsadeb v rovině nebo na svahu do 1:5 souvislých keřových skupin včetně likvidace odpadu, naložení, odvezení a se složením (1x / rok)</t>
  </si>
  <si>
    <t>Plzeňská ulice</t>
  </si>
  <si>
    <t>Acer platanoides ´Globosum´</t>
  </si>
  <si>
    <t>Tříděná zemina bonity I. Ve vrstvě 10 cm včetně ceny dopravy materiálu a koeficientu slehnutí 1,3</t>
  </si>
  <si>
    <t xml:space="preserve">Travní osivo (letničky) při výsevku 2 g / 1 m2 </t>
  </si>
  <si>
    <t>Spiraea japonica 'Dart´s Red'</t>
  </si>
  <si>
    <t>Spiraea x bumalda ´Golflame´</t>
  </si>
  <si>
    <t>javor mléč</t>
  </si>
  <si>
    <t>Hnojení tabletovým hnojivem s obsahem ureaformu hořčíku a stopových prvků  vč. Dodávky (1 ks tablet / nižší keř nebo půdopokryvná rostlina), vč. ceny dopravy materiálu a aplikace</t>
  </si>
  <si>
    <t>Hnojení tabletovým hnojivem s obsahem ureaformu hořčíku a stopových prvků  vč. Dodávky (3 ks tablet / vyšší keř), vč. ceny dopravy materiálu a aplikace</t>
  </si>
  <si>
    <t>Absorbční prostředek - práškový koncentrát  v dávce 10 g ke každému nižšímu keři nebo  půdopokryvné rostlině, vč. ceny dopravy materiálu a aplikace</t>
  </si>
  <si>
    <t>Absorbční prostředek - práškový koncentrát  v dávce 20 g ke každému vyššímu keři, vč. ceny dopravy materiálu a aplikace</t>
  </si>
  <si>
    <t>Zpevnění svahu jutovou, kokosovou nebo plastovou rohoží na svahu přes 1:2 do 1:1 (plocha * koef svahu 1,2)</t>
  </si>
  <si>
    <t>Položení mulčovací textílie proti prorůstnání plevelů kolem vysázených rostlin na svahu přes 1:2 do 1:1  (plocha * koef svahu 1,2)</t>
  </si>
  <si>
    <t>Pěstební substrát 0,25 m3 / 1 ks, včetně ceny dopravy materiálu</t>
  </si>
  <si>
    <t>Hnojení tabletovým hnojivem s obsahem ureaformu hořčíku a stopových prvků  vč. Dodávky (5 ks tablet / strom), vč. ceny dopravy materiálu a aplikace</t>
  </si>
  <si>
    <t>Absorbční prostředek - práškový koncentrát  v dávce 100 g ke každému stromu, vč. ceny dopravy materiálu a aplikace</t>
  </si>
  <si>
    <t>Chemické odplevelení půdy před založením kultury, trávníku nebo zpevněných ploch o výměře přes 20 m2 na svahu přes 1:2 do 1:1 postřikem na široko *</t>
  </si>
  <si>
    <t>* Aplikace přípravku na zpevnění půdy postřikem</t>
  </si>
  <si>
    <t>Následná péče o výsadby v 2. roce</t>
  </si>
  <si>
    <t xml:space="preserve">Následná péče o výsadby v 2. roce - stromy </t>
  </si>
  <si>
    <t>Následná péče o výsadby v 2. roce - stromy - celkem</t>
  </si>
  <si>
    <t xml:space="preserve">Následná péče o výsadby v 2. roce - keřové výsadby </t>
  </si>
  <si>
    <t>Následná péče o výsadby v 2. roce - keřové výsadby - celkem</t>
  </si>
  <si>
    <t xml:space="preserve">Následná péče o výsadby ve 2. roce - květnaté louky a trávníky </t>
  </si>
  <si>
    <t>Následná péče o výsadby ve 2. roce - květnaté louky a trávníky - celkem</t>
  </si>
  <si>
    <t>Náklady na dopravu pro 2. rok následné péče</t>
  </si>
  <si>
    <t>Následná péče o výsadby v 2. roce - celkem</t>
  </si>
  <si>
    <t>Následná péče o výsadby v 3. roce</t>
  </si>
  <si>
    <t xml:space="preserve">Následná péče o výsadby v 3. roce - stromy </t>
  </si>
  <si>
    <t>Následná péče o výsadby v 3. roce - stromy - celkem</t>
  </si>
  <si>
    <t xml:space="preserve">Následná péče o výsadby v 3. roce - keřové výsadby </t>
  </si>
  <si>
    <t>Následná péče o výsadby v 3. roce - keřové výsadby - celkem</t>
  </si>
  <si>
    <t xml:space="preserve">Následná péče o výsadby ve 3. roce - květnaté louky a trávníky </t>
  </si>
  <si>
    <t>Následná péče o výsadby ve 3. roce - květnaté louky a trávníky - celkem</t>
  </si>
  <si>
    <t>Náklady na dopravu pro 3. rok následné péče</t>
  </si>
  <si>
    <t>Následná péče o výsadby v 3. roce - celkem</t>
  </si>
  <si>
    <t xml:space="preserve"> Řez stromů prováděný lezeckou technikou výchovný (S-RV) alejové stromy, výšky přes 4 do 6 m (listnaté 1x / 3 roky)</t>
  </si>
  <si>
    <t xml:space="preserve">Odstranění ukotvení dřeviny třemi kůly přes 2 do 3 m včetně naložení vzniklého odpadu na dopravní prostředek, odvoz na vzdálenost do 20 km </t>
  </si>
  <si>
    <r>
      <t xml:space="preserve">Dodávka eco tkaná mulčovací textílie (3-5let rozpad - biopolymer 120g/m2) proti prorůstnání plevelů </t>
    </r>
    <r>
      <rPr>
        <sz val="11"/>
        <rFont val="Arial"/>
        <family val="2"/>
      </rPr>
      <t xml:space="preserve">+ 5 % </t>
    </r>
    <r>
      <rPr>
        <sz val="11"/>
        <color indexed="8"/>
        <rFont val="Arial"/>
        <family val="2"/>
      </rPr>
      <t>překrytí, vč. ceny dopravy materiálu</t>
    </r>
  </si>
  <si>
    <t>Revitalizace sídelní zeleně – Králův Dvůr -  2023</t>
  </si>
  <si>
    <t>Ing. Pavlína Elfová, Eliška Hubertová, DiS.</t>
  </si>
  <si>
    <t xml:space="preserve">Sesazovací řez - torzo  – celkem </t>
  </si>
  <si>
    <t xml:space="preserve">Sesazovací řez - torzo, plocha koruny stromu </t>
  </si>
  <si>
    <t>REKAPITULACE VÝKAZU VÝMĚR</t>
  </si>
  <si>
    <t>Revitalizace významné sídelní zeleně v intravilánu města Králův Dvůr –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</si>
</sst>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0\ [$Kč-405];[Red]\-#,##0.00\ [$Kč-405]"/>
    <numFmt numFmtId="165" formatCode="#,##0&quot; Kč&quot;"/>
    <numFmt numFmtId="166" formatCode="#,##0\ [$Kč-405];[Red]\-#,##0\ [$Kč-405]"/>
    <numFmt numFmtId="167" formatCode="#,##0.00&quot; Kč&quot;"/>
    <numFmt numFmtId="168" formatCode="0.0000"/>
    <numFmt numFmtId="169" formatCode="0.00000"/>
    <numFmt numFmtId="170" formatCode="0.000"/>
    <numFmt numFmtId="171" formatCode="0.0"/>
    <numFmt numFmtId="172" formatCode="#,##0.00\ &quot;Kč&quot;"/>
    <numFmt numFmtId="173" formatCode="#,##0\ &quot;Kč&quot;"/>
    <numFmt numFmtId="174" formatCode="0.00%;\-0.00%"/>
  </numFmts>
  <fonts count="23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sz val="11"/>
      <color rgb="FF00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i/>
      <sz val="11"/>
      <color rgb="FF7F7F7F"/>
      <name val="Calibri"/>
      <family val="2"/>
      <scheme val="minor"/>
    </font>
    <font>
      <sz val="10"/>
      <color theme="1"/>
      <name val="Arial"/>
      <family val="2"/>
    </font>
    <font>
      <b/>
      <sz val="13"/>
      <color rgb="FFFF0000"/>
      <name val="Arial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Arial"/>
      <family val="2"/>
    </font>
    <font>
      <b/>
      <sz val="11"/>
      <color theme="1"/>
      <name val="Arial"/>
      <family val="2"/>
    </font>
    <font>
      <sz val="11"/>
      <color indexed="1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" fillId="0" borderId="0">
      <alignment/>
      <protection/>
    </xf>
  </cellStyleXfs>
  <cellXfs count="408">
    <xf numFmtId="0" fontId="0" fillId="0" borderId="0" xfId="0"/>
    <xf numFmtId="0" fontId="2" fillId="0" borderId="0" xfId="20" applyFont="1" applyAlignment="1">
      <alignment vertical="center"/>
      <protection/>
    </xf>
    <xf numFmtId="0" fontId="2" fillId="0" borderId="0" xfId="20" applyFont="1">
      <alignment/>
      <protection/>
    </xf>
    <xf numFmtId="0" fontId="2" fillId="0" borderId="0" xfId="20" applyFont="1" applyAlignment="1">
      <alignment horizontal="center" vertical="center"/>
      <protection/>
    </xf>
    <xf numFmtId="164" fontId="2" fillId="0" borderId="0" xfId="20" applyNumberFormat="1" applyFont="1" applyAlignment="1">
      <alignment horizontal="center" vertical="center"/>
      <protection/>
    </xf>
    <xf numFmtId="0" fontId="4" fillId="0" borderId="0" xfId="20" applyFont="1">
      <alignment/>
      <protection/>
    </xf>
    <xf numFmtId="0" fontId="3" fillId="0" borderId="0" xfId="20" applyFont="1">
      <alignment/>
      <protection/>
    </xf>
    <xf numFmtId="0" fontId="7" fillId="0" borderId="0" xfId="20" applyFont="1">
      <alignment/>
      <protection/>
    </xf>
    <xf numFmtId="0" fontId="4" fillId="0" borderId="0" xfId="20" applyFont="1">
      <alignment/>
      <protection/>
    </xf>
    <xf numFmtId="0" fontId="0" fillId="0" borderId="0" xfId="20" applyAlignment="1">
      <alignment vertical="center"/>
      <protection/>
    </xf>
    <xf numFmtId="0" fontId="2" fillId="0" borderId="0" xfId="20" applyFont="1" applyAlignment="1">
      <alignment horizontal="left" vertical="center"/>
      <protection/>
    </xf>
    <xf numFmtId="0" fontId="7" fillId="0" borderId="0" xfId="20" applyFont="1" applyAlignment="1">
      <alignment vertical="center"/>
      <protection/>
    </xf>
    <xf numFmtId="0" fontId="0" fillId="0" borderId="0" xfId="20" applyAlignment="1">
      <alignment horizontal="center" vertical="center"/>
      <protection/>
    </xf>
    <xf numFmtId="0" fontId="2" fillId="2" borderId="0" xfId="20" applyFont="1" applyFill="1">
      <alignment/>
      <protection/>
    </xf>
    <xf numFmtId="0" fontId="2" fillId="3" borderId="0" xfId="20" applyFont="1" applyFill="1">
      <alignment/>
      <protection/>
    </xf>
    <xf numFmtId="0" fontId="3" fillId="3" borderId="0" xfId="20" applyFont="1" applyFill="1">
      <alignment/>
      <protection/>
    </xf>
    <xf numFmtId="0" fontId="0" fillId="0" borderId="0" xfId="20">
      <alignment/>
      <protection/>
    </xf>
    <xf numFmtId="0" fontId="2" fillId="4" borderId="1" xfId="20" applyFont="1" applyFill="1" applyBorder="1" applyAlignment="1">
      <alignment horizontal="center" vertical="center"/>
      <protection/>
    </xf>
    <xf numFmtId="0" fontId="2" fillId="4" borderId="0" xfId="20" applyFont="1" applyFill="1">
      <alignment/>
      <protection/>
    </xf>
    <xf numFmtId="0" fontId="2" fillId="5" borderId="1" xfId="20" applyFont="1" applyFill="1" applyBorder="1" applyAlignment="1">
      <alignment horizontal="center" vertical="center"/>
      <protection/>
    </xf>
    <xf numFmtId="0" fontId="0" fillId="6" borderId="0" xfId="20" applyFill="1">
      <alignment/>
      <protection/>
    </xf>
    <xf numFmtId="0" fontId="6" fillId="6" borderId="0" xfId="20" applyFont="1" applyFill="1">
      <alignment/>
      <protection/>
    </xf>
    <xf numFmtId="172" fontId="7" fillId="0" borderId="0" xfId="20" applyNumberFormat="1" applyFont="1" applyAlignment="1">
      <alignment vertical="center"/>
      <protection/>
    </xf>
    <xf numFmtId="172" fontId="2" fillId="0" borderId="0" xfId="20" applyNumberFormat="1" applyFont="1" applyAlignment="1">
      <alignment vertical="center"/>
      <protection/>
    </xf>
    <xf numFmtId="0" fontId="2" fillId="7" borderId="0" xfId="20" applyFont="1" applyFill="1">
      <alignment/>
      <protection/>
    </xf>
    <xf numFmtId="0" fontId="11" fillId="0" borderId="0" xfId="20" applyFont="1" applyAlignment="1">
      <alignment horizontal="left" vertical="center"/>
      <protection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10" fillId="7" borderId="1" xfId="0" applyNumberFormat="1" applyFont="1" applyFill="1" applyBorder="1" applyAlignment="1">
      <alignment horizontal="center" vertical="center"/>
    </xf>
    <xf numFmtId="0" fontId="2" fillId="0" borderId="1" xfId="20" applyFont="1" applyBorder="1" applyAlignment="1">
      <alignment vertical="center"/>
      <protection/>
    </xf>
    <xf numFmtId="0" fontId="2" fillId="0" borderId="1" xfId="20" applyFont="1" applyBorder="1">
      <alignment/>
      <protection/>
    </xf>
    <xf numFmtId="49" fontId="10" fillId="7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49" fontId="10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2" fontId="2" fillId="0" borderId="1" xfId="20" applyNumberFormat="1" applyFont="1" applyBorder="1" applyAlignment="1">
      <alignment horizontal="right" vertical="center"/>
      <protection/>
    </xf>
    <xf numFmtId="172" fontId="3" fillId="5" borderId="1" xfId="20" applyNumberFormat="1" applyFont="1" applyFill="1" applyBorder="1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17" fillId="0" borderId="0" xfId="20" applyFont="1" applyAlignment="1">
      <alignment horizontal="center" vertical="center"/>
      <protection/>
    </xf>
    <xf numFmtId="0" fontId="17" fillId="0" borderId="0" xfId="20" applyFont="1" applyAlignment="1">
      <alignment horizontal="center" vertical="center" wrapText="1"/>
      <protection/>
    </xf>
    <xf numFmtId="0" fontId="18" fillId="0" borderId="0" xfId="20" applyFont="1" applyAlignment="1">
      <alignment vertical="center"/>
      <protection/>
    </xf>
    <xf numFmtId="0" fontId="18" fillId="0" borderId="0" xfId="20" applyFont="1">
      <alignment/>
      <protection/>
    </xf>
    <xf numFmtId="0" fontId="8" fillId="0" borderId="0" xfId="20" applyFont="1" applyAlignment="1">
      <alignment horizontal="center" vertical="center"/>
      <protection/>
    </xf>
    <xf numFmtId="0" fontId="3" fillId="0" borderId="0" xfId="26" applyFont="1" applyAlignment="1">
      <alignment wrapText="1"/>
      <protection/>
    </xf>
    <xf numFmtId="0" fontId="2" fillId="0" borderId="0" xfId="26" applyFont="1">
      <alignment/>
      <protection/>
    </xf>
    <xf numFmtId="0" fontId="3" fillId="0" borderId="0" xfId="20" applyFont="1" applyAlignment="1">
      <alignment horizontal="center" vertical="center" wrapText="1"/>
      <protection/>
    </xf>
    <xf numFmtId="0" fontId="3" fillId="0" borderId="0" xfId="20" applyFont="1" applyAlignment="1">
      <alignment horizontal="center" vertical="center"/>
      <protection/>
    </xf>
    <xf numFmtId="0" fontId="2" fillId="0" borderId="0" xfId="26" applyFont="1" applyAlignment="1">
      <alignment horizontal="right"/>
      <protection/>
    </xf>
    <xf numFmtId="0" fontId="2" fillId="0" borderId="0" xfId="26" applyFont="1" applyAlignment="1">
      <alignment wrapText="1"/>
      <protection/>
    </xf>
    <xf numFmtId="0" fontId="2" fillId="0" borderId="0" xfId="26" applyFont="1" applyAlignment="1" applyProtection="1">
      <alignment horizontal="left" vertical="center" wrapText="1"/>
      <protection locked="0"/>
    </xf>
    <xf numFmtId="0" fontId="2" fillId="0" borderId="0" xfId="26" applyFont="1" applyAlignment="1" applyProtection="1">
      <alignment horizontal="left" vertical="center"/>
      <protection locked="0"/>
    </xf>
    <xf numFmtId="174" fontId="2" fillId="0" borderId="0" xfId="26" applyNumberFormat="1" applyFont="1" applyAlignment="1" applyProtection="1">
      <alignment vertical="center"/>
      <protection locked="0"/>
    </xf>
    <xf numFmtId="0" fontId="2" fillId="8" borderId="0" xfId="20" applyFont="1" applyFill="1" applyAlignment="1">
      <alignment vertical="center"/>
      <protection/>
    </xf>
    <xf numFmtId="172" fontId="3" fillId="9" borderId="1" xfId="26" applyNumberFormat="1" applyFont="1" applyFill="1" applyBorder="1" applyAlignment="1">
      <alignment vertical="center"/>
      <protection/>
    </xf>
    <xf numFmtId="0" fontId="6" fillId="0" borderId="0" xfId="20" applyFont="1" applyAlignment="1">
      <alignment horizontal="left" vertical="center" wrapText="1"/>
      <protection/>
    </xf>
    <xf numFmtId="0" fontId="6" fillId="0" borderId="0" xfId="20" applyFont="1" applyAlignment="1">
      <alignment horizontal="left" vertical="center"/>
      <protection/>
    </xf>
    <xf numFmtId="0" fontId="2" fillId="0" borderId="0" xfId="20" applyFont="1" applyAlignment="1">
      <alignment wrapText="1"/>
      <protection/>
    </xf>
    <xf numFmtId="0" fontId="8" fillId="0" borderId="0" xfId="20" applyFont="1" applyAlignment="1">
      <alignment horizontal="center" vertical="center" wrapText="1"/>
      <protection/>
    </xf>
    <xf numFmtId="0" fontId="3" fillId="0" borderId="0" xfId="20" applyFont="1" applyAlignment="1">
      <alignment wrapText="1"/>
      <protection/>
    </xf>
    <xf numFmtId="164" fontId="3" fillId="10" borderId="1" xfId="26" applyNumberFormat="1" applyFont="1" applyFill="1" applyBorder="1" applyAlignment="1">
      <alignment vertical="center"/>
      <protection/>
    </xf>
    <xf numFmtId="0" fontId="2" fillId="0" borderId="0" xfId="0" applyFont="1" applyAlignment="1">
      <alignment wrapText="1"/>
    </xf>
    <xf numFmtId="164" fontId="3" fillId="11" borderId="1" xfId="26" applyNumberFormat="1" applyFont="1" applyFill="1" applyBorder="1" applyAlignment="1">
      <alignment vertical="center"/>
      <protection/>
    </xf>
    <xf numFmtId="164" fontId="3" fillId="12" borderId="1" xfId="26" applyNumberFormat="1" applyFont="1" applyFill="1" applyBorder="1" applyAlignment="1">
      <alignment vertical="center"/>
      <protection/>
    </xf>
    <xf numFmtId="164" fontId="3" fillId="13" borderId="1" xfId="26" applyNumberFormat="1" applyFont="1" applyFill="1" applyBorder="1" applyAlignment="1">
      <alignment vertical="center"/>
      <protection/>
    </xf>
    <xf numFmtId="0" fontId="2" fillId="0" borderId="0" xfId="20" applyFont="1" applyAlignment="1">
      <alignment vertical="center" wrapText="1"/>
      <protection/>
    </xf>
    <xf numFmtId="0" fontId="9" fillId="0" borderId="0" xfId="26" applyFont="1" applyAlignment="1" applyProtection="1">
      <alignment horizontal="left" vertical="center" wrapText="1"/>
      <protection locked="0"/>
    </xf>
    <xf numFmtId="0" fontId="9" fillId="0" borderId="0" xfId="26" applyFont="1" applyAlignment="1" applyProtection="1">
      <alignment horizontal="left" vertical="center"/>
      <protection locked="0"/>
    </xf>
    <xf numFmtId="174" fontId="9" fillId="0" borderId="0" xfId="26" applyNumberFormat="1" applyFont="1" applyAlignment="1" applyProtection="1">
      <alignment vertical="center"/>
      <protection locked="0"/>
    </xf>
    <xf numFmtId="172" fontId="2" fillId="0" borderId="0" xfId="26" applyNumberFormat="1" applyFont="1" applyAlignment="1" applyProtection="1">
      <alignment horizontal="left" vertical="center"/>
      <protection locked="0"/>
    </xf>
    <xf numFmtId="0" fontId="11" fillId="0" borderId="0" xfId="20" applyFont="1" applyAlignment="1">
      <alignment horizontal="left" vertical="center" wrapText="1"/>
      <protection/>
    </xf>
    <xf numFmtId="0" fontId="3" fillId="6" borderId="2" xfId="26" applyFont="1" applyFill="1" applyBorder="1" applyAlignment="1">
      <alignment vertical="center"/>
      <protection/>
    </xf>
    <xf numFmtId="0" fontId="3" fillId="6" borderId="3" xfId="26" applyFont="1" applyFill="1" applyBorder="1" applyAlignment="1">
      <alignment vertical="center"/>
      <protection/>
    </xf>
    <xf numFmtId="0" fontId="3" fillId="13" borderId="2" xfId="26" applyFont="1" applyFill="1" applyBorder="1" applyAlignment="1">
      <alignment vertical="center"/>
      <protection/>
    </xf>
    <xf numFmtId="0" fontId="3" fillId="13" borderId="3" xfId="26" applyFont="1" applyFill="1" applyBorder="1" applyAlignment="1">
      <alignment vertical="center"/>
      <protection/>
    </xf>
    <xf numFmtId="0" fontId="3" fillId="12" borderId="2" xfId="26" applyFont="1" applyFill="1" applyBorder="1" applyAlignment="1">
      <alignment vertical="center"/>
      <protection/>
    </xf>
    <xf numFmtId="0" fontId="3" fillId="12" borderId="3" xfId="26" applyFont="1" applyFill="1" applyBorder="1" applyAlignment="1">
      <alignment vertical="center"/>
      <protection/>
    </xf>
    <xf numFmtId="0" fontId="3" fillId="11" borderId="2" xfId="26" applyFont="1" applyFill="1" applyBorder="1" applyAlignment="1">
      <alignment vertical="center"/>
      <protection/>
    </xf>
    <xf numFmtId="0" fontId="3" fillId="11" borderId="3" xfId="26" applyFont="1" applyFill="1" applyBorder="1" applyAlignment="1">
      <alignment vertical="center"/>
      <protection/>
    </xf>
    <xf numFmtId="0" fontId="3" fillId="10" borderId="2" xfId="26" applyFont="1" applyFill="1" applyBorder="1" applyAlignment="1">
      <alignment vertical="center"/>
      <protection/>
    </xf>
    <xf numFmtId="0" fontId="3" fillId="10" borderId="3" xfId="26" applyFont="1" applyFill="1" applyBorder="1" applyAlignment="1">
      <alignment vertical="center"/>
      <protection/>
    </xf>
    <xf numFmtId="0" fontId="18" fillId="0" borderId="0" xfId="26" applyFont="1">
      <alignment/>
      <protection/>
    </xf>
    <xf numFmtId="0" fontId="14" fillId="0" borderId="0" xfId="20" applyFont="1" applyAlignment="1">
      <alignment horizontal="center" vertical="center"/>
      <protection/>
    </xf>
    <xf numFmtId="0" fontId="13" fillId="0" borderId="0" xfId="0" applyFont="1"/>
    <xf numFmtId="0" fontId="18" fillId="0" borderId="0" xfId="26" applyFont="1" applyAlignment="1">
      <alignment horizontal="right"/>
      <protection/>
    </xf>
    <xf numFmtId="0" fontId="13" fillId="0" borderId="0" xfId="20" applyFont="1" applyAlignment="1">
      <alignment horizontal="center" vertical="center"/>
      <protection/>
    </xf>
    <xf numFmtId="0" fontId="18" fillId="0" borderId="0" xfId="26" applyFont="1" applyAlignment="1" applyProtection="1">
      <alignment horizontal="left" vertical="center"/>
      <protection locked="0"/>
    </xf>
    <xf numFmtId="0" fontId="14" fillId="10" borderId="3" xfId="26" applyFont="1" applyFill="1" applyBorder="1" applyAlignment="1">
      <alignment vertical="center"/>
      <protection/>
    </xf>
    <xf numFmtId="0" fontId="14" fillId="11" borderId="3" xfId="26" applyFont="1" applyFill="1" applyBorder="1" applyAlignment="1">
      <alignment vertical="center"/>
      <protection/>
    </xf>
    <xf numFmtId="0" fontId="14" fillId="12" borderId="3" xfId="26" applyFont="1" applyFill="1" applyBorder="1" applyAlignment="1">
      <alignment vertical="center"/>
      <protection/>
    </xf>
    <xf numFmtId="0" fontId="14" fillId="13" borderId="3" xfId="26" applyFont="1" applyFill="1" applyBorder="1" applyAlignment="1">
      <alignment vertical="center"/>
      <protection/>
    </xf>
    <xf numFmtId="0" fontId="14" fillId="6" borderId="3" xfId="26" applyFont="1" applyFill="1" applyBorder="1" applyAlignment="1">
      <alignment vertical="center"/>
      <protection/>
    </xf>
    <xf numFmtId="0" fontId="19" fillId="0" borderId="0" xfId="26" applyFont="1" applyAlignment="1" applyProtection="1">
      <alignment horizontal="left" vertical="center"/>
      <protection locked="0"/>
    </xf>
    <xf numFmtId="0" fontId="13" fillId="0" borderId="0" xfId="20" applyFont="1" applyAlignment="1">
      <alignment vertical="center"/>
      <protection/>
    </xf>
    <xf numFmtId="0" fontId="20" fillId="0" borderId="0" xfId="20" applyFont="1" applyAlignment="1">
      <alignment horizontal="center" vertical="center"/>
      <protection/>
    </xf>
    <xf numFmtId="0" fontId="18" fillId="0" borderId="0" xfId="20" applyFont="1" applyAlignment="1">
      <alignment horizontal="center" vertical="center"/>
      <protection/>
    </xf>
    <xf numFmtId="0" fontId="4" fillId="14" borderId="1" xfId="20" applyFont="1" applyFill="1" applyBorder="1" applyAlignment="1">
      <alignment vertical="center"/>
      <protection/>
    </xf>
    <xf numFmtId="0" fontId="2" fillId="11" borderId="0" xfId="20" applyFont="1" applyFill="1">
      <alignment/>
      <protection/>
    </xf>
    <xf numFmtId="0" fontId="3" fillId="11" borderId="0" xfId="20" applyFont="1" applyFill="1">
      <alignment/>
      <protection/>
    </xf>
    <xf numFmtId="0" fontId="4" fillId="13" borderId="0" xfId="20" applyFont="1" applyFill="1">
      <alignment/>
      <protection/>
    </xf>
    <xf numFmtId="0" fontId="2" fillId="12" borderId="0" xfId="20" applyFont="1" applyFill="1">
      <alignment/>
      <protection/>
    </xf>
    <xf numFmtId="0" fontId="3" fillId="15" borderId="0" xfId="20" applyFont="1" applyFill="1">
      <alignment/>
      <protection/>
    </xf>
    <xf numFmtId="0" fontId="21" fillId="0" borderId="0" xfId="20" applyFont="1">
      <alignment/>
      <protection/>
    </xf>
    <xf numFmtId="0" fontId="10" fillId="16" borderId="1" xfId="20" applyFont="1" applyFill="1" applyBorder="1" applyAlignment="1">
      <alignment vertical="center"/>
      <protection/>
    </xf>
    <xf numFmtId="0" fontId="10" fillId="12" borderId="0" xfId="20" applyFont="1" applyFill="1">
      <alignment/>
      <protection/>
    </xf>
    <xf numFmtId="0" fontId="10" fillId="0" borderId="0" xfId="20" applyFont="1">
      <alignment/>
      <protection/>
    </xf>
    <xf numFmtId="0" fontId="10" fillId="0" borderId="1" xfId="20" applyFont="1" applyBorder="1" applyAlignment="1">
      <alignment horizontal="center" vertical="center"/>
      <protection/>
    </xf>
    <xf numFmtId="0" fontId="21" fillId="0" borderId="1" xfId="20" applyFont="1" applyBorder="1" applyAlignment="1">
      <alignment horizontal="center" vertical="center" wrapText="1"/>
      <protection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1" fontId="10" fillId="0" borderId="1" xfId="20" applyNumberFormat="1" applyFont="1" applyBorder="1" applyAlignment="1">
      <alignment horizontal="center" vertical="center"/>
      <protection/>
    </xf>
    <xf numFmtId="171" fontId="10" fillId="0" borderId="1" xfId="20" applyNumberFormat="1" applyFont="1" applyBorder="1" applyAlignment="1">
      <alignment horizontal="center" vertical="center"/>
      <protection/>
    </xf>
    <xf numFmtId="171" fontId="21" fillId="0" borderId="1" xfId="20" applyNumberFormat="1" applyFont="1" applyBorder="1" applyAlignment="1">
      <alignment horizontal="center" vertical="center"/>
      <protection/>
    </xf>
    <xf numFmtId="0" fontId="16" fillId="0" borderId="0" xfId="20" applyFont="1">
      <alignment/>
      <protection/>
    </xf>
    <xf numFmtId="0" fontId="16" fillId="7" borderId="0" xfId="20" applyFont="1" applyFill="1">
      <alignment/>
      <protection/>
    </xf>
    <xf numFmtId="0" fontId="10" fillId="0" borderId="0" xfId="26" applyFont="1" applyAlignment="1">
      <alignment horizontal="right"/>
      <protection/>
    </xf>
    <xf numFmtId="0" fontId="21" fillId="17" borderId="1" xfId="20" applyFont="1" applyFill="1" applyBorder="1" applyAlignment="1">
      <alignment vertical="center"/>
      <protection/>
    </xf>
    <xf numFmtId="0" fontId="3" fillId="18" borderId="2" xfId="20" applyFont="1" applyFill="1" applyBorder="1" applyAlignment="1">
      <alignment vertical="center"/>
      <protection/>
    </xf>
    <xf numFmtId="0" fontId="3" fillId="18" borderId="3" xfId="20" applyFont="1" applyFill="1" applyBorder="1" applyAlignment="1">
      <alignment vertical="center"/>
      <protection/>
    </xf>
    <xf numFmtId="0" fontId="14" fillId="18" borderId="3" xfId="20" applyFont="1" applyFill="1" applyBorder="1" applyAlignment="1">
      <alignment vertical="center"/>
      <protection/>
    </xf>
    <xf numFmtId="164" fontId="3" fillId="18" borderId="1" xfId="20" applyNumberFormat="1" applyFont="1" applyFill="1" applyBorder="1" applyAlignment="1">
      <alignment horizontal="right" vertical="center"/>
      <protection/>
    </xf>
    <xf numFmtId="164" fontId="3" fillId="0" borderId="1" xfId="20" applyNumberFormat="1" applyFont="1" applyBorder="1" applyAlignment="1">
      <alignment horizontal="right" vertical="center"/>
      <protection/>
    </xf>
    <xf numFmtId="164" fontId="2" fillId="0" borderId="0" xfId="26" applyNumberFormat="1" applyFont="1">
      <alignment/>
      <protection/>
    </xf>
    <xf numFmtId="172" fontId="2" fillId="0" borderId="1" xfId="20" applyNumberFormat="1" applyFont="1" applyBorder="1" applyAlignment="1">
      <alignment vertical="center"/>
      <protection/>
    </xf>
    <xf numFmtId="164" fontId="2" fillId="0" borderId="0" xfId="20" applyNumberFormat="1" applyFont="1">
      <alignment/>
      <protection/>
    </xf>
    <xf numFmtId="164" fontId="2" fillId="0" borderId="0" xfId="20" applyNumberFormat="1" applyFont="1" applyAlignment="1">
      <alignment horizontal="right" vertical="center"/>
      <protection/>
    </xf>
    <xf numFmtId="0" fontId="8" fillId="0" borderId="0" xfId="20" applyFont="1" applyAlignment="1">
      <alignment horizontal="right" vertical="center"/>
      <protection/>
    </xf>
    <xf numFmtId="172" fontId="3" fillId="9" borderId="1" xfId="26" applyNumberFormat="1" applyFont="1" applyFill="1" applyBorder="1" applyAlignment="1">
      <alignment horizontal="right" vertical="center"/>
      <protection/>
    </xf>
    <xf numFmtId="49" fontId="2" fillId="0" borderId="0" xfId="20" applyNumberFormat="1" applyFont="1" applyAlignment="1">
      <alignment horizontal="right"/>
      <protection/>
    </xf>
    <xf numFmtId="0" fontId="2" fillId="3" borderId="1" xfId="20" applyFont="1" applyFill="1" applyBorder="1" applyAlignment="1">
      <alignment horizontal="center" vertical="center"/>
      <protection/>
    </xf>
    <xf numFmtId="0" fontId="2" fillId="7" borderId="1" xfId="20" applyFont="1" applyFill="1" applyBorder="1" applyAlignment="1">
      <alignment horizontal="center" vertical="center"/>
      <protection/>
    </xf>
    <xf numFmtId="0" fontId="10" fillId="7" borderId="1" xfId="20" applyFont="1" applyFill="1" applyBorder="1" applyAlignment="1">
      <alignment horizontal="center" vertical="center"/>
      <protection/>
    </xf>
    <xf numFmtId="0" fontId="2" fillId="0" borderId="1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164" fontId="3" fillId="6" borderId="1" xfId="26" applyNumberFormat="1" applyFont="1" applyFill="1" applyBorder="1" applyAlignment="1">
      <alignment vertical="center" wrapText="1"/>
      <protection/>
    </xf>
    <xf numFmtId="49" fontId="21" fillId="0" borderId="1" xfId="20" applyNumberFormat="1" applyFont="1" applyBorder="1" applyAlignment="1">
      <alignment horizontal="center" vertical="center" wrapText="1"/>
      <protection/>
    </xf>
    <xf numFmtId="0" fontId="10" fillId="0" borderId="1" xfId="20" applyFont="1" applyBorder="1" applyAlignment="1">
      <alignment horizontal="center" vertical="center" wrapText="1"/>
      <protection/>
    </xf>
    <xf numFmtId="172" fontId="4" fillId="0" borderId="1" xfId="20" applyNumberFormat="1" applyFont="1" applyBorder="1" applyAlignment="1">
      <alignment horizontal="right" vertical="center" wrapText="1"/>
      <protection/>
    </xf>
    <xf numFmtId="0" fontId="3" fillId="19" borderId="1" xfId="20" applyFont="1" applyFill="1" applyBorder="1" applyAlignment="1">
      <alignment vertical="center"/>
      <protection/>
    </xf>
    <xf numFmtId="14" fontId="2" fillId="19" borderId="1" xfId="20" applyNumberFormat="1" applyFont="1" applyFill="1" applyBorder="1" applyAlignment="1">
      <alignment horizontal="center" vertical="center"/>
      <protection/>
    </xf>
    <xf numFmtId="1" fontId="21" fillId="19" borderId="1" xfId="20" applyNumberFormat="1" applyFont="1" applyFill="1" applyBorder="1" applyAlignment="1">
      <alignment horizontal="center" vertical="center"/>
      <protection/>
    </xf>
    <xf numFmtId="1" fontId="14" fillId="19" borderId="1" xfId="20" applyNumberFormat="1" applyFont="1" applyFill="1" applyBorder="1" applyAlignment="1">
      <alignment horizontal="center" vertical="center"/>
      <protection/>
    </xf>
    <xf numFmtId="164" fontId="2" fillId="19" borderId="1" xfId="20" applyNumberFormat="1" applyFont="1" applyFill="1" applyBorder="1" applyAlignment="1">
      <alignment horizontal="center" vertical="center"/>
      <protection/>
    </xf>
    <xf numFmtId="172" fontId="3" fillId="19" borderId="1" xfId="20" applyNumberFormat="1" applyFont="1" applyFill="1" applyBorder="1" applyAlignment="1">
      <alignment vertical="center"/>
      <protection/>
    </xf>
    <xf numFmtId="0" fontId="4" fillId="0" borderId="1" xfId="20" applyFont="1" applyBorder="1" applyAlignment="1">
      <alignment horizontal="center" vertical="center"/>
      <protection/>
    </xf>
    <xf numFmtId="0" fontId="21" fillId="0" borderId="1" xfId="20" applyFont="1" applyBorder="1" applyAlignment="1">
      <alignment horizontal="center" vertical="center"/>
      <protection/>
    </xf>
    <xf numFmtId="172" fontId="4" fillId="0" borderId="1" xfId="20" applyNumberFormat="1" applyFont="1" applyBorder="1" applyAlignment="1">
      <alignment horizontal="right" vertical="center"/>
      <protection/>
    </xf>
    <xf numFmtId="49" fontId="2" fillId="0" borderId="1" xfId="0" applyNumberFormat="1" applyFont="1" applyBorder="1" applyAlignment="1">
      <alignment vertical="center"/>
    </xf>
    <xf numFmtId="14" fontId="2" fillId="20" borderId="1" xfId="20" applyNumberFormat="1" applyFont="1" applyFill="1" applyBorder="1" applyAlignment="1">
      <alignment horizontal="center" vertical="center"/>
      <protection/>
    </xf>
    <xf numFmtId="1" fontId="21" fillId="20" borderId="1" xfId="20" applyNumberFormat="1" applyFont="1" applyFill="1" applyBorder="1" applyAlignment="1">
      <alignment horizontal="center" vertical="center"/>
      <protection/>
    </xf>
    <xf numFmtId="172" fontId="10" fillId="0" borderId="1" xfId="20" applyNumberFormat="1" applyFont="1" applyBorder="1" applyAlignment="1">
      <alignment horizontal="right" vertical="center" wrapText="1"/>
      <protection/>
    </xf>
    <xf numFmtId="172" fontId="10" fillId="0" borderId="1" xfId="20" applyNumberFormat="1" applyFont="1" applyBorder="1" applyAlignment="1">
      <alignment horizontal="right" vertical="center"/>
      <protection/>
    </xf>
    <xf numFmtId="14" fontId="10" fillId="20" borderId="1" xfId="20" applyNumberFormat="1" applyFont="1" applyFill="1" applyBorder="1" applyAlignment="1">
      <alignment horizontal="center" vertical="center"/>
      <protection/>
    </xf>
    <xf numFmtId="172" fontId="21" fillId="19" borderId="1" xfId="20" applyNumberFormat="1" applyFont="1" applyFill="1" applyBorder="1" applyAlignment="1">
      <alignment vertical="center"/>
      <protection/>
    </xf>
    <xf numFmtId="14" fontId="18" fillId="20" borderId="1" xfId="20" applyNumberFormat="1" applyFont="1" applyFill="1" applyBorder="1" applyAlignment="1">
      <alignment horizontal="center" vertical="center"/>
      <protection/>
    </xf>
    <xf numFmtId="49" fontId="21" fillId="7" borderId="1" xfId="20" applyNumberFormat="1" applyFont="1" applyFill="1" applyBorder="1" applyAlignment="1">
      <alignment horizontal="center" vertical="center" wrapText="1"/>
      <protection/>
    </xf>
    <xf numFmtId="0" fontId="2" fillId="11" borderId="1" xfId="20" applyFont="1" applyFill="1" applyBorder="1" applyAlignment="1">
      <alignment horizontal="center" vertical="center"/>
      <protection/>
    </xf>
    <xf numFmtId="167" fontId="2" fillId="0" borderId="1" xfId="20" applyNumberFormat="1" applyFont="1" applyBorder="1" applyAlignment="1">
      <alignment horizontal="right" vertical="center"/>
      <protection/>
    </xf>
    <xf numFmtId="0" fontId="4" fillId="0" borderId="1" xfId="20" applyFont="1" applyBorder="1" applyAlignment="1">
      <alignment horizontal="center" vertical="center" wrapText="1"/>
      <protection/>
    </xf>
    <xf numFmtId="167" fontId="4" fillId="0" borderId="1" xfId="20" applyNumberFormat="1" applyFont="1" applyBorder="1" applyAlignment="1">
      <alignment horizontal="right" vertical="center" wrapText="1"/>
      <protection/>
    </xf>
    <xf numFmtId="0" fontId="3" fillId="19" borderId="1" xfId="20" applyFont="1" applyFill="1" applyBorder="1" applyAlignment="1">
      <alignment horizontal="center" vertical="center"/>
      <protection/>
    </xf>
    <xf numFmtId="0" fontId="14" fillId="19" borderId="1" xfId="20" applyFont="1" applyFill="1" applyBorder="1" applyAlignment="1">
      <alignment horizontal="center" vertical="center"/>
      <protection/>
    </xf>
    <xf numFmtId="166" fontId="3" fillId="19" borderId="1" xfId="20" applyNumberFormat="1" applyFont="1" applyFill="1" applyBorder="1" applyAlignment="1">
      <alignment horizontal="right" vertical="center"/>
      <protection/>
    </xf>
    <xf numFmtId="165" fontId="3" fillId="19" borderId="1" xfId="20" applyNumberFormat="1" applyFont="1" applyFill="1" applyBorder="1" applyAlignment="1">
      <alignment horizontal="right" vertical="center"/>
      <protection/>
    </xf>
    <xf numFmtId="0" fontId="2" fillId="0" borderId="1" xfId="20" applyFont="1" applyBorder="1" applyAlignment="1">
      <alignment horizontal="left" vertical="center"/>
      <protection/>
    </xf>
    <xf numFmtId="173" fontId="3" fillId="19" borderId="1" xfId="20" applyNumberFormat="1" applyFont="1" applyFill="1" applyBorder="1" applyAlignment="1">
      <alignment horizontal="right" vertical="center"/>
      <protection/>
    </xf>
    <xf numFmtId="167" fontId="3" fillId="19" borderId="1" xfId="20" applyNumberFormat="1" applyFont="1" applyFill="1" applyBorder="1" applyAlignment="1">
      <alignment horizontal="right" vertical="center"/>
      <protection/>
    </xf>
    <xf numFmtId="171" fontId="10" fillId="3" borderId="1" xfId="20" applyNumberFormat="1" applyFont="1" applyFill="1" applyBorder="1" applyAlignment="1">
      <alignment horizontal="center" vertical="center"/>
      <protection/>
    </xf>
    <xf numFmtId="0" fontId="10" fillId="3" borderId="1" xfId="20" applyFont="1" applyFill="1" applyBorder="1" applyAlignment="1">
      <alignment horizontal="center" vertical="center"/>
      <protection/>
    </xf>
    <xf numFmtId="171" fontId="21" fillId="3" borderId="1" xfId="20" applyNumberFormat="1" applyFont="1" applyFill="1" applyBorder="1" applyAlignment="1">
      <alignment horizontal="center" vertical="center"/>
      <protection/>
    </xf>
    <xf numFmtId="172" fontId="2" fillId="3" borderId="1" xfId="20" applyNumberFormat="1" applyFont="1" applyFill="1" applyBorder="1" applyAlignment="1">
      <alignment vertical="center"/>
      <protection/>
    </xf>
    <xf numFmtId="0" fontId="22" fillId="0" borderId="1" xfId="20" applyFont="1" applyBorder="1" applyAlignment="1">
      <alignment horizontal="center" vertical="center"/>
      <protection/>
    </xf>
    <xf numFmtId="0" fontId="2" fillId="21" borderId="1" xfId="20" applyFont="1" applyFill="1" applyBorder="1" applyAlignment="1">
      <alignment horizontal="center" vertical="center"/>
      <protection/>
    </xf>
    <xf numFmtId="0" fontId="18" fillId="21" borderId="1" xfId="20" applyFont="1" applyFill="1" applyBorder="1" applyAlignment="1">
      <alignment horizontal="center" vertical="center"/>
      <protection/>
    </xf>
    <xf numFmtId="169" fontId="18" fillId="21" borderId="1" xfId="20" applyNumberFormat="1" applyFont="1" applyFill="1" applyBorder="1" applyAlignment="1">
      <alignment horizontal="center" vertical="center"/>
      <protection/>
    </xf>
    <xf numFmtId="164" fontId="2" fillId="21" borderId="1" xfId="20" applyNumberFormat="1" applyFont="1" applyFill="1" applyBorder="1" applyAlignment="1">
      <alignment horizontal="center" vertical="center"/>
      <protection/>
    </xf>
    <xf numFmtId="172" fontId="3" fillId="21" borderId="1" xfId="20" applyNumberFormat="1" applyFont="1" applyFill="1" applyBorder="1" applyAlignment="1">
      <alignment vertical="center"/>
      <protection/>
    </xf>
    <xf numFmtId="0" fontId="2" fillId="15" borderId="1" xfId="20" applyFont="1" applyFill="1" applyBorder="1" applyAlignment="1">
      <alignment horizontal="center" vertical="center"/>
      <protection/>
    </xf>
    <xf numFmtId="172" fontId="3" fillId="22" borderId="1" xfId="20" applyNumberFormat="1" applyFont="1" applyFill="1" applyBorder="1" applyAlignment="1">
      <alignment vertical="center"/>
      <protection/>
    </xf>
    <xf numFmtId="1" fontId="21" fillId="0" borderId="1" xfId="20" applyNumberFormat="1" applyFont="1" applyBorder="1" applyAlignment="1">
      <alignment horizontal="center" vertical="center"/>
      <protection/>
    </xf>
    <xf numFmtId="167" fontId="10" fillId="0" borderId="1" xfId="20" applyNumberFormat="1" applyFont="1" applyBorder="1" applyAlignment="1">
      <alignment horizontal="right" vertical="center"/>
      <protection/>
    </xf>
    <xf numFmtId="172" fontId="10" fillId="0" borderId="1" xfId="20" applyNumberFormat="1" applyFont="1" applyBorder="1" applyAlignment="1">
      <alignment vertical="center"/>
      <protection/>
    </xf>
    <xf numFmtId="0" fontId="10" fillId="23" borderId="1" xfId="20" applyFont="1" applyFill="1" applyBorder="1" applyAlignment="1">
      <alignment horizontal="center" vertical="center"/>
      <protection/>
    </xf>
    <xf numFmtId="1" fontId="21" fillId="23" borderId="1" xfId="20" applyNumberFormat="1" applyFont="1" applyFill="1" applyBorder="1" applyAlignment="1">
      <alignment horizontal="center" vertical="center"/>
      <protection/>
    </xf>
    <xf numFmtId="164" fontId="10" fillId="23" borderId="1" xfId="20" applyNumberFormat="1" applyFont="1" applyFill="1" applyBorder="1" applyAlignment="1">
      <alignment horizontal="center" vertical="center"/>
      <protection/>
    </xf>
    <xf numFmtId="172" fontId="21" fillId="23" borderId="1" xfId="20" applyNumberFormat="1" applyFont="1" applyFill="1" applyBorder="1" applyAlignment="1">
      <alignment vertical="center"/>
      <protection/>
    </xf>
    <xf numFmtId="0" fontId="2" fillId="12" borderId="1" xfId="20" applyFont="1" applyFill="1" applyBorder="1" applyAlignment="1">
      <alignment horizontal="center" vertical="center"/>
      <protection/>
    </xf>
    <xf numFmtId="172" fontId="3" fillId="16" borderId="1" xfId="20" applyNumberFormat="1" applyFont="1" applyFill="1" applyBorder="1" applyAlignment="1">
      <alignment vertical="center"/>
      <protection/>
    </xf>
    <xf numFmtId="0" fontId="2" fillId="13" borderId="1" xfId="20" applyFont="1" applyFill="1" applyBorder="1" applyAlignment="1">
      <alignment horizontal="center" vertical="center"/>
      <protection/>
    </xf>
    <xf numFmtId="171" fontId="3" fillId="0" borderId="1" xfId="20" applyNumberFormat="1" applyFont="1" applyBorder="1" applyAlignment="1">
      <alignment horizontal="center" vertical="center"/>
      <protection/>
    </xf>
    <xf numFmtId="164" fontId="2" fillId="0" borderId="1" xfId="20" applyNumberFormat="1" applyFont="1" applyBorder="1" applyAlignment="1">
      <alignment horizontal="right" vertical="center"/>
      <protection/>
    </xf>
    <xf numFmtId="170" fontId="2" fillId="3" borderId="1" xfId="20" applyNumberFormat="1" applyFont="1" applyFill="1" applyBorder="1" applyAlignment="1">
      <alignment horizontal="center" vertical="center"/>
      <protection/>
    </xf>
    <xf numFmtId="171" fontId="2" fillId="3" borderId="1" xfId="20" applyNumberFormat="1" applyFont="1" applyFill="1" applyBorder="1" applyAlignment="1">
      <alignment horizontal="center" vertical="center"/>
      <protection/>
    </xf>
    <xf numFmtId="0" fontId="2" fillId="7" borderId="1" xfId="0" applyFont="1" applyFill="1" applyBorder="1" applyAlignment="1">
      <alignment horizontal="center" vertical="center"/>
    </xf>
    <xf numFmtId="171" fontId="2" fillId="7" borderId="1" xfId="0" applyNumberFormat="1" applyFont="1" applyFill="1" applyBorder="1" applyAlignment="1">
      <alignment horizontal="center" vertical="center"/>
    </xf>
    <xf numFmtId="171" fontId="3" fillId="7" borderId="1" xfId="20" applyNumberFormat="1" applyFont="1" applyFill="1" applyBorder="1" applyAlignment="1">
      <alignment horizontal="center" vertical="center"/>
      <protection/>
    </xf>
    <xf numFmtId="164" fontId="2" fillId="7" borderId="1" xfId="0" applyNumberFormat="1" applyFont="1" applyFill="1" applyBorder="1" applyAlignment="1">
      <alignment horizontal="right" vertical="center" wrapText="1"/>
    </xf>
    <xf numFmtId="172" fontId="2" fillId="7" borderId="1" xfId="20" applyNumberFormat="1" applyFont="1" applyFill="1" applyBorder="1" applyAlignment="1">
      <alignment vertical="center"/>
      <protection/>
    </xf>
    <xf numFmtId="0" fontId="2" fillId="7" borderId="1" xfId="0" applyFont="1" applyFill="1" applyBorder="1" applyAlignment="1">
      <alignment horizontal="center" vertical="center" wrapText="1"/>
    </xf>
    <xf numFmtId="167" fontId="2" fillId="7" borderId="1" xfId="0" applyNumberFormat="1" applyFont="1" applyFill="1" applyBorder="1" applyAlignment="1">
      <alignment horizontal="right" vertical="center" wrapText="1"/>
    </xf>
    <xf numFmtId="164" fontId="2" fillId="7" borderId="1" xfId="20" applyNumberFormat="1" applyFont="1" applyFill="1" applyBorder="1" applyAlignment="1">
      <alignment horizontal="right" vertical="center"/>
      <protection/>
    </xf>
    <xf numFmtId="171" fontId="2" fillId="7" borderId="1" xfId="20" applyNumberFormat="1" applyFont="1" applyFill="1" applyBorder="1" applyAlignment="1">
      <alignment horizontal="center" vertical="center"/>
      <protection/>
    </xf>
    <xf numFmtId="9" fontId="2" fillId="24" borderId="1" xfId="20" applyNumberFormat="1" applyFont="1" applyFill="1" applyBorder="1" applyAlignment="1">
      <alignment horizontal="center" vertical="center"/>
      <protection/>
    </xf>
    <xf numFmtId="9" fontId="18" fillId="24" borderId="1" xfId="20" applyNumberFormat="1" applyFont="1" applyFill="1" applyBorder="1" applyAlignment="1">
      <alignment horizontal="center" vertical="center"/>
      <protection/>
    </xf>
    <xf numFmtId="1" fontId="14" fillId="24" borderId="1" xfId="20" applyNumberFormat="1" applyFont="1" applyFill="1" applyBorder="1" applyAlignment="1">
      <alignment horizontal="center" vertical="center"/>
      <protection/>
    </xf>
    <xf numFmtId="164" fontId="2" fillId="24" borderId="1" xfId="20" applyNumberFormat="1" applyFont="1" applyFill="1" applyBorder="1" applyAlignment="1">
      <alignment horizontal="center" vertical="center"/>
      <protection/>
    </xf>
    <xf numFmtId="172" fontId="3" fillId="24" borderId="1" xfId="20" applyNumberFormat="1" applyFont="1" applyFill="1" applyBorder="1" applyAlignment="1">
      <alignment vertical="center"/>
      <protection/>
    </xf>
    <xf numFmtId="0" fontId="2" fillId="0" borderId="1" xfId="20" applyFont="1" applyBorder="1" applyAlignment="1">
      <alignment horizontal="center" vertical="center" wrapText="1"/>
      <protection/>
    </xf>
    <xf numFmtId="0" fontId="2" fillId="3" borderId="1" xfId="0" applyFont="1" applyFill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 vertical="center"/>
    </xf>
    <xf numFmtId="1" fontId="2" fillId="7" borderId="1" xfId="0" applyNumberFormat="1" applyFont="1" applyFill="1" applyBorder="1" applyAlignment="1">
      <alignment horizontal="center" vertical="center"/>
    </xf>
    <xf numFmtId="1" fontId="2" fillId="7" borderId="1" xfId="20" applyNumberFormat="1" applyFont="1" applyFill="1" applyBorder="1" applyAlignment="1">
      <alignment horizontal="center" vertical="center"/>
      <protection/>
    </xf>
    <xf numFmtId="164" fontId="4" fillId="0" borderId="1" xfId="20" applyNumberFormat="1" applyFont="1" applyBorder="1" applyAlignment="1">
      <alignment horizontal="right" vertical="center"/>
      <protection/>
    </xf>
    <xf numFmtId="9" fontId="2" fillId="0" borderId="1" xfId="20" applyNumberFormat="1" applyFont="1" applyBorder="1" applyAlignment="1">
      <alignment horizontal="center" vertical="center"/>
      <protection/>
    </xf>
    <xf numFmtId="2" fontId="10" fillId="0" borderId="1" xfId="20" applyNumberFormat="1" applyFont="1" applyBorder="1" applyAlignment="1">
      <alignment horizontal="center" vertical="center"/>
      <protection/>
    </xf>
    <xf numFmtId="2" fontId="2" fillId="7" borderId="1" xfId="20" applyNumberFormat="1" applyFont="1" applyFill="1" applyBorder="1" applyAlignment="1">
      <alignment horizontal="center" vertical="center"/>
      <protection/>
    </xf>
    <xf numFmtId="2" fontId="10" fillId="0" borderId="1" xfId="0" applyNumberFormat="1" applyFont="1" applyBorder="1" applyAlignment="1">
      <alignment horizontal="center" vertical="center"/>
    </xf>
    <xf numFmtId="2" fontId="2" fillId="7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 wrapText="1"/>
    </xf>
    <xf numFmtId="0" fontId="4" fillId="0" borderId="4" xfId="20" applyFont="1" applyBorder="1" applyAlignment="1">
      <alignment horizontal="center" vertical="center"/>
      <protection/>
    </xf>
    <xf numFmtId="171" fontId="10" fillId="0" borderId="4" xfId="20" applyNumberFormat="1" applyFont="1" applyBorder="1" applyAlignment="1">
      <alignment horizontal="center" vertical="center"/>
      <protection/>
    </xf>
    <xf numFmtId="171" fontId="2" fillId="7" borderId="4" xfId="20" applyNumberFormat="1" applyFont="1" applyFill="1" applyBorder="1" applyAlignment="1">
      <alignment horizontal="center" vertical="center"/>
      <protection/>
    </xf>
    <xf numFmtId="171" fontId="21" fillId="0" borderId="4" xfId="20" applyNumberFormat="1" applyFont="1" applyBorder="1" applyAlignment="1">
      <alignment horizontal="center" vertical="center"/>
      <protection/>
    </xf>
    <xf numFmtId="164" fontId="4" fillId="0" borderId="4" xfId="20" applyNumberFormat="1" applyFont="1" applyBorder="1" applyAlignment="1">
      <alignment horizontal="right" vertical="center"/>
      <protection/>
    </xf>
    <xf numFmtId="172" fontId="2" fillId="0" borderId="4" xfId="20" applyNumberFormat="1" applyFont="1" applyBorder="1" applyAlignment="1">
      <alignment vertical="center"/>
      <protection/>
    </xf>
    <xf numFmtId="0" fontId="4" fillId="0" borderId="5" xfId="20" applyFont="1" applyBorder="1" applyAlignment="1">
      <alignment horizontal="center" vertical="center"/>
      <protection/>
    </xf>
    <xf numFmtId="0" fontId="4" fillId="0" borderId="6" xfId="20" applyFont="1" applyBorder="1" applyAlignment="1">
      <alignment horizontal="center" vertical="center"/>
      <protection/>
    </xf>
    <xf numFmtId="171" fontId="10" fillId="0" borderId="6" xfId="20" applyNumberFormat="1" applyFont="1" applyBorder="1" applyAlignment="1">
      <alignment horizontal="center" vertical="center"/>
      <protection/>
    </xf>
    <xf numFmtId="171" fontId="2" fillId="0" borderId="6" xfId="20" applyNumberFormat="1" applyFont="1" applyBorder="1" applyAlignment="1">
      <alignment horizontal="center" vertical="center"/>
      <protection/>
    </xf>
    <xf numFmtId="171" fontId="21" fillId="0" borderId="6" xfId="20" applyNumberFormat="1" applyFont="1" applyBorder="1" applyAlignment="1">
      <alignment horizontal="center" vertical="center"/>
      <protection/>
    </xf>
    <xf numFmtId="164" fontId="4" fillId="0" borderId="6" xfId="20" applyNumberFormat="1" applyFont="1" applyBorder="1" applyAlignment="1">
      <alignment horizontal="right" vertical="center"/>
      <protection/>
    </xf>
    <xf numFmtId="172" fontId="2" fillId="0" borderId="7" xfId="20" applyNumberFormat="1" applyFont="1" applyBorder="1" applyAlignment="1">
      <alignment vertical="center"/>
      <protection/>
    </xf>
    <xf numFmtId="0" fontId="4" fillId="0" borderId="8" xfId="20" applyFont="1" applyBorder="1" applyAlignment="1">
      <alignment horizontal="center" vertical="center"/>
      <protection/>
    </xf>
    <xf numFmtId="171" fontId="2" fillId="0" borderId="1" xfId="20" applyNumberFormat="1" applyFont="1" applyBorder="1" applyAlignment="1">
      <alignment horizontal="center" vertical="center"/>
      <protection/>
    </xf>
    <xf numFmtId="172" fontId="2" fillId="0" borderId="9" xfId="20" applyNumberFormat="1" applyFont="1" applyBorder="1" applyAlignment="1">
      <alignment vertical="center"/>
      <protection/>
    </xf>
    <xf numFmtId="0" fontId="2" fillId="0" borderId="8" xfId="20" applyFont="1" applyBorder="1" applyAlignment="1">
      <alignment horizontal="center" vertical="center"/>
      <protection/>
    </xf>
    <xf numFmtId="0" fontId="2" fillId="0" borderId="10" xfId="20" applyFont="1" applyBorder="1" applyAlignment="1">
      <alignment horizontal="center" vertical="center"/>
      <protection/>
    </xf>
    <xf numFmtId="0" fontId="4" fillId="0" borderId="11" xfId="20" applyFont="1" applyBorder="1" applyAlignment="1">
      <alignment horizontal="center" vertical="center"/>
      <protection/>
    </xf>
    <xf numFmtId="2" fontId="10" fillId="0" borderId="11" xfId="20" applyNumberFormat="1" applyFont="1" applyBorder="1" applyAlignment="1">
      <alignment horizontal="center" vertical="center"/>
      <protection/>
    </xf>
    <xf numFmtId="2" fontId="2" fillId="0" borderId="11" xfId="20" applyNumberFormat="1" applyFont="1" applyBorder="1" applyAlignment="1">
      <alignment horizontal="center" vertical="center"/>
      <protection/>
    </xf>
    <xf numFmtId="171" fontId="21" fillId="0" borderId="11" xfId="20" applyNumberFormat="1" applyFont="1" applyBorder="1" applyAlignment="1">
      <alignment horizontal="center" vertical="center"/>
      <protection/>
    </xf>
    <xf numFmtId="164" fontId="4" fillId="0" borderId="11" xfId="20" applyNumberFormat="1" applyFont="1" applyBorder="1" applyAlignment="1">
      <alignment horizontal="right" vertical="center"/>
      <protection/>
    </xf>
    <xf numFmtId="172" fontId="2" fillId="0" borderId="12" xfId="20" applyNumberFormat="1" applyFont="1" applyBorder="1" applyAlignment="1">
      <alignment vertical="center"/>
      <protection/>
    </xf>
    <xf numFmtId="0" fontId="2" fillId="0" borderId="5" xfId="20" applyFont="1" applyBorder="1" applyAlignment="1">
      <alignment horizontal="center" vertical="center"/>
      <protection/>
    </xf>
    <xf numFmtId="0" fontId="2" fillId="0" borderId="6" xfId="20" applyFont="1" applyBorder="1" applyAlignment="1">
      <alignment horizontal="center" vertical="center"/>
      <protection/>
    </xf>
    <xf numFmtId="164" fontId="2" fillId="0" borderId="6" xfId="20" applyNumberFormat="1" applyFont="1" applyBorder="1" applyAlignment="1">
      <alignment horizontal="right" vertical="center"/>
      <protection/>
    </xf>
    <xf numFmtId="0" fontId="2" fillId="0" borderId="11" xfId="20" applyFont="1" applyBorder="1" applyAlignment="1">
      <alignment horizontal="center" vertical="center"/>
      <protection/>
    </xf>
    <xf numFmtId="171" fontId="10" fillId="0" borderId="11" xfId="20" applyNumberFormat="1" applyFont="1" applyBorder="1" applyAlignment="1">
      <alignment horizontal="center" vertical="center"/>
      <protection/>
    </xf>
    <xf numFmtId="171" fontId="2" fillId="0" borderId="11" xfId="20" applyNumberFormat="1" applyFont="1" applyBorder="1" applyAlignment="1">
      <alignment horizontal="center" vertical="center"/>
      <protection/>
    </xf>
    <xf numFmtId="164" fontId="2" fillId="0" borderId="11" xfId="20" applyNumberFormat="1" applyFont="1" applyBorder="1" applyAlignment="1">
      <alignment horizontal="right" vertical="center"/>
      <protection/>
    </xf>
    <xf numFmtId="0" fontId="2" fillId="7" borderId="13" xfId="0" applyFont="1" applyFill="1" applyBorder="1" applyAlignment="1">
      <alignment horizontal="center" vertical="center"/>
    </xf>
    <xf numFmtId="0" fontId="2" fillId="7" borderId="13" xfId="20" applyFont="1" applyFill="1" applyBorder="1" applyAlignment="1">
      <alignment vertical="center"/>
      <protection/>
    </xf>
    <xf numFmtId="0" fontId="2" fillId="7" borderId="13" xfId="20" applyFont="1" applyFill="1" applyBorder="1" applyAlignment="1">
      <alignment horizontal="center" vertical="center"/>
      <protection/>
    </xf>
    <xf numFmtId="0" fontId="10" fillId="7" borderId="13" xfId="20" applyFont="1" applyFill="1" applyBorder="1" applyAlignment="1">
      <alignment horizontal="center" vertical="center"/>
      <protection/>
    </xf>
    <xf numFmtId="171" fontId="21" fillId="0" borderId="13" xfId="20" applyNumberFormat="1" applyFont="1" applyBorder="1" applyAlignment="1">
      <alignment horizontal="center" vertical="center"/>
      <protection/>
    </xf>
    <xf numFmtId="164" fontId="2" fillId="7" borderId="13" xfId="20" applyNumberFormat="1" applyFont="1" applyFill="1" applyBorder="1" applyAlignment="1">
      <alignment horizontal="right" vertical="center"/>
      <protection/>
    </xf>
    <xf numFmtId="172" fontId="2" fillId="7" borderId="13" xfId="20" applyNumberFormat="1" applyFont="1" applyFill="1" applyBorder="1" applyAlignment="1">
      <alignment vertical="center"/>
      <protection/>
    </xf>
    <xf numFmtId="0" fontId="2" fillId="7" borderId="1" xfId="20" applyFont="1" applyFill="1" applyBorder="1" applyAlignment="1">
      <alignment vertical="center"/>
      <protection/>
    </xf>
    <xf numFmtId="1" fontId="2" fillId="0" borderId="1" xfId="20" applyNumberFormat="1" applyFont="1" applyBorder="1" applyAlignment="1">
      <alignment horizontal="center" vertical="center"/>
      <protection/>
    </xf>
    <xf numFmtId="164" fontId="2" fillId="3" borderId="1" xfId="20" applyNumberFormat="1" applyFont="1" applyFill="1" applyBorder="1" applyAlignment="1">
      <alignment horizontal="right" vertical="center"/>
      <protection/>
    </xf>
    <xf numFmtId="1" fontId="10" fillId="7" borderId="1" xfId="20" applyNumberFormat="1" applyFont="1" applyFill="1" applyBorder="1" applyAlignment="1">
      <alignment horizontal="center" vertical="center"/>
      <protection/>
    </xf>
    <xf numFmtId="2" fontId="10" fillId="7" borderId="1" xfId="0" applyNumberFormat="1" applyFont="1" applyFill="1" applyBorder="1" applyAlignment="1">
      <alignment horizontal="center" vertical="center"/>
    </xf>
    <xf numFmtId="1" fontId="21" fillId="3" borderId="1" xfId="20" applyNumberFormat="1" applyFont="1" applyFill="1" applyBorder="1" applyAlignment="1">
      <alignment horizontal="center" vertical="center"/>
      <protection/>
    </xf>
    <xf numFmtId="0" fontId="2" fillId="25" borderId="1" xfId="25" applyFont="1" applyFill="1" applyBorder="1" applyAlignment="1">
      <alignment horizontal="center" vertical="center"/>
    </xf>
    <xf numFmtId="0" fontId="2" fillId="0" borderId="2" xfId="20" applyFont="1" applyBorder="1" applyAlignment="1">
      <alignment vertical="center"/>
      <protection/>
    </xf>
    <xf numFmtId="0" fontId="2" fillId="0" borderId="14" xfId="20" applyFont="1" applyBorder="1" applyAlignment="1">
      <alignment vertical="center"/>
      <protection/>
    </xf>
    <xf numFmtId="2" fontId="2" fillId="0" borderId="1" xfId="20" applyNumberFormat="1" applyFont="1" applyBorder="1" applyAlignment="1">
      <alignment horizontal="center" vertical="center"/>
      <protection/>
    </xf>
    <xf numFmtId="0" fontId="2" fillId="26" borderId="1" xfId="20" applyFont="1" applyFill="1" applyBorder="1" applyAlignment="1">
      <alignment horizontal="center" vertical="center"/>
      <protection/>
    </xf>
    <xf numFmtId="0" fontId="18" fillId="26" borderId="1" xfId="20" applyFont="1" applyFill="1" applyBorder="1" applyAlignment="1">
      <alignment horizontal="center" vertical="center"/>
      <protection/>
    </xf>
    <xf numFmtId="0" fontId="14" fillId="26" borderId="1" xfId="20" applyFont="1" applyFill="1" applyBorder="1" applyAlignment="1">
      <alignment horizontal="center" vertical="center"/>
      <protection/>
    </xf>
    <xf numFmtId="164" fontId="2" fillId="26" borderId="1" xfId="20" applyNumberFormat="1" applyFont="1" applyFill="1" applyBorder="1" applyAlignment="1">
      <alignment horizontal="center" vertical="center"/>
      <protection/>
    </xf>
    <xf numFmtId="172" fontId="3" fillId="26" borderId="1" xfId="20" applyNumberFormat="1" applyFont="1" applyFill="1" applyBorder="1" applyAlignment="1">
      <alignment vertical="center"/>
      <protection/>
    </xf>
    <xf numFmtId="170" fontId="10" fillId="0" borderId="1" xfId="20" applyNumberFormat="1" applyFont="1" applyBorder="1" applyAlignment="1">
      <alignment horizontal="center" vertical="center"/>
      <protection/>
    </xf>
    <xf numFmtId="167" fontId="2" fillId="0" borderId="1" xfId="0" applyNumberFormat="1" applyFont="1" applyBorder="1" applyAlignment="1">
      <alignment horizontal="right" vertical="center" wrapText="1"/>
    </xf>
    <xf numFmtId="171" fontId="10" fillId="0" borderId="1" xfId="20" applyNumberFormat="1" applyFont="1" applyBorder="1" applyAlignment="1">
      <alignment horizontal="center" vertical="center" wrapText="1"/>
      <protection/>
    </xf>
    <xf numFmtId="164" fontId="2" fillId="0" borderId="1" xfId="20" applyNumberFormat="1" applyFont="1" applyBorder="1" applyAlignment="1">
      <alignment horizontal="right" vertical="center" wrapText="1"/>
      <protection/>
    </xf>
    <xf numFmtId="168" fontId="10" fillId="0" borderId="1" xfId="20" applyNumberFormat="1" applyFont="1" applyBorder="1" applyAlignment="1">
      <alignment horizontal="center" vertical="center"/>
      <protection/>
    </xf>
    <xf numFmtId="171" fontId="10" fillId="7" borderId="1" xfId="20" applyNumberFormat="1" applyFont="1" applyFill="1" applyBorder="1" applyAlignment="1">
      <alignment horizontal="center" vertical="center"/>
      <protection/>
    </xf>
    <xf numFmtId="170" fontId="10" fillId="0" borderId="1" xfId="20" applyNumberFormat="1" applyFont="1" applyBorder="1" applyAlignment="1">
      <alignment horizontal="center" vertical="center" wrapText="1"/>
      <protection/>
    </xf>
    <xf numFmtId="170" fontId="2" fillId="0" borderId="1" xfId="20" applyNumberFormat="1" applyFont="1" applyBorder="1" applyAlignment="1">
      <alignment horizontal="center" vertical="center" wrapText="1"/>
      <protection/>
    </xf>
    <xf numFmtId="171" fontId="2" fillId="0" borderId="1" xfId="20" applyNumberFormat="1" applyFont="1" applyBorder="1" applyAlignment="1">
      <alignment horizontal="center" vertical="center" wrapText="1"/>
      <protection/>
    </xf>
    <xf numFmtId="172" fontId="21" fillId="17" borderId="1" xfId="20" applyNumberFormat="1" applyFont="1" applyFill="1" applyBorder="1" applyAlignment="1">
      <alignment vertical="center"/>
      <protection/>
    </xf>
    <xf numFmtId="0" fontId="3" fillId="6" borderId="1" xfId="20" applyFont="1" applyFill="1" applyBorder="1" applyAlignment="1">
      <alignment horizontal="center" vertical="center" wrapText="1"/>
      <protection/>
    </xf>
    <xf numFmtId="172" fontId="2" fillId="0" borderId="1" xfId="20" applyNumberFormat="1" applyFont="1" applyBorder="1" applyAlignment="1">
      <alignment horizontal="right" vertical="center" wrapText="1"/>
      <protection/>
    </xf>
    <xf numFmtId="0" fontId="2" fillId="20" borderId="1" xfId="20" applyFont="1" applyFill="1" applyBorder="1" applyAlignment="1">
      <alignment horizontal="center" vertical="center"/>
      <protection/>
    </xf>
    <xf numFmtId="0" fontId="18" fillId="20" borderId="1" xfId="20" applyFont="1" applyFill="1" applyBorder="1" applyAlignment="1">
      <alignment horizontal="center" vertical="center"/>
      <protection/>
    </xf>
    <xf numFmtId="164" fontId="2" fillId="20" borderId="1" xfId="20" applyNumberFormat="1" applyFont="1" applyFill="1" applyBorder="1" applyAlignment="1">
      <alignment horizontal="right" vertical="center"/>
      <protection/>
    </xf>
    <xf numFmtId="172" fontId="3" fillId="20" borderId="1" xfId="20" applyNumberFormat="1" applyFont="1" applyFill="1" applyBorder="1" applyAlignment="1">
      <alignment vertical="center"/>
      <protection/>
    </xf>
    <xf numFmtId="164" fontId="10" fillId="0" borderId="1" xfId="20" applyNumberFormat="1" applyFont="1" applyBorder="1" applyAlignment="1">
      <alignment horizontal="right" vertical="center"/>
      <protection/>
    </xf>
    <xf numFmtId="9" fontId="10" fillId="0" borderId="1" xfId="20" applyNumberFormat="1" applyFont="1" applyBorder="1" applyAlignment="1">
      <alignment horizontal="center" vertical="center"/>
      <protection/>
    </xf>
    <xf numFmtId="0" fontId="10" fillId="20" borderId="1" xfId="20" applyFont="1" applyFill="1" applyBorder="1" applyAlignment="1">
      <alignment horizontal="center" vertical="center"/>
      <protection/>
    </xf>
    <xf numFmtId="164" fontId="10" fillId="20" borderId="1" xfId="20" applyNumberFormat="1" applyFont="1" applyFill="1" applyBorder="1" applyAlignment="1">
      <alignment horizontal="right" vertical="center"/>
      <protection/>
    </xf>
    <xf numFmtId="172" fontId="21" fillId="20" borderId="1" xfId="20" applyNumberFormat="1" applyFont="1" applyFill="1" applyBorder="1" applyAlignment="1">
      <alignment vertical="center"/>
      <protection/>
    </xf>
    <xf numFmtId="0" fontId="10" fillId="7" borderId="1" xfId="20" applyFont="1" applyFill="1" applyBorder="1" applyAlignment="1">
      <alignment horizontal="center" vertical="center" wrapText="1"/>
      <protection/>
    </xf>
    <xf numFmtId="164" fontId="10" fillId="7" borderId="1" xfId="20" applyNumberFormat="1" applyFont="1" applyFill="1" applyBorder="1" applyAlignment="1">
      <alignment horizontal="right" vertical="center"/>
      <protection/>
    </xf>
    <xf numFmtId="172" fontId="10" fillId="7" borderId="1" xfId="20" applyNumberFormat="1" applyFont="1" applyFill="1" applyBorder="1" applyAlignment="1">
      <alignment horizontal="right" vertical="center" wrapText="1"/>
      <protection/>
    </xf>
    <xf numFmtId="0" fontId="2" fillId="6" borderId="1" xfId="0" applyFont="1" applyFill="1" applyBorder="1" applyAlignment="1">
      <alignment horizontal="center" vertical="center"/>
    </xf>
    <xf numFmtId="172" fontId="3" fillId="27" borderId="1" xfId="20" applyNumberFormat="1" applyFont="1" applyFill="1" applyBorder="1" applyAlignment="1">
      <alignment vertical="center"/>
      <protection/>
    </xf>
    <xf numFmtId="0" fontId="2" fillId="18" borderId="1" xfId="20" applyFont="1" applyFill="1" applyBorder="1" applyAlignment="1">
      <alignment horizontal="center" vertical="center"/>
      <protection/>
    </xf>
    <xf numFmtId="171" fontId="14" fillId="21" borderId="1" xfId="20" applyNumberFormat="1" applyFont="1" applyFill="1" applyBorder="1" applyAlignment="1">
      <alignment horizontal="center" vertical="center"/>
      <protection/>
    </xf>
    <xf numFmtId="3" fontId="2" fillId="0" borderId="1" xfId="20" applyNumberFormat="1" applyFont="1" applyBorder="1" applyAlignment="1">
      <alignment horizontal="center" vertical="center"/>
      <protection/>
    </xf>
    <xf numFmtId="171" fontId="21" fillId="21" borderId="1" xfId="20" applyNumberFormat="1" applyFont="1" applyFill="1" applyBorder="1" applyAlignment="1">
      <alignment horizontal="center" vertical="center"/>
      <protection/>
    </xf>
    <xf numFmtId="172" fontId="3" fillId="28" borderId="1" xfId="20" applyNumberFormat="1" applyFont="1" applyFill="1" applyBorder="1" applyAlignment="1">
      <alignment vertical="center"/>
      <protection/>
    </xf>
    <xf numFmtId="0" fontId="3" fillId="29" borderId="1" xfId="0" applyFont="1" applyFill="1" applyBorder="1" applyAlignment="1">
      <alignment horizontal="left" vertical="center"/>
    </xf>
    <xf numFmtId="0" fontId="2" fillId="0" borderId="1" xfId="20" applyFont="1" applyBorder="1" applyAlignment="1">
      <alignment vertical="center"/>
      <protection/>
    </xf>
    <xf numFmtId="0" fontId="2" fillId="0" borderId="1" xfId="20" applyFont="1" applyBorder="1" applyAlignment="1">
      <alignment vertical="center" wrapText="1"/>
      <protection/>
    </xf>
    <xf numFmtId="0" fontId="10" fillId="0" borderId="1" xfId="20" applyFont="1" applyBorder="1" applyAlignment="1">
      <alignment vertical="center" wrapText="1"/>
      <protection/>
    </xf>
    <xf numFmtId="0" fontId="21" fillId="20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20" borderId="1" xfId="0" applyFont="1" applyFill="1" applyBorder="1" applyAlignment="1">
      <alignment horizontal="left" vertical="center"/>
    </xf>
    <xf numFmtId="0" fontId="10" fillId="7" borderId="2" xfId="20" applyFont="1" applyFill="1" applyBorder="1" applyAlignment="1">
      <alignment horizontal="left" vertical="center" wrapText="1"/>
      <protection/>
    </xf>
    <xf numFmtId="0" fontId="10" fillId="7" borderId="14" xfId="20" applyFont="1" applyFill="1" applyBorder="1" applyAlignment="1">
      <alignment horizontal="left" vertical="center" wrapText="1"/>
      <protection/>
    </xf>
    <xf numFmtId="171" fontId="10" fillId="7" borderId="2" xfId="20" applyNumberFormat="1" applyFont="1" applyFill="1" applyBorder="1" applyAlignment="1">
      <alignment horizontal="center" vertical="center"/>
      <protection/>
    </xf>
    <xf numFmtId="171" fontId="10" fillId="7" borderId="3" xfId="20" applyNumberFormat="1" applyFont="1" applyFill="1" applyBorder="1" applyAlignment="1">
      <alignment horizontal="center" vertical="center"/>
      <protection/>
    </xf>
    <xf numFmtId="171" fontId="10" fillId="7" borderId="14" xfId="20" applyNumberFormat="1" applyFont="1" applyFill="1" applyBorder="1" applyAlignment="1">
      <alignment horizontal="center" vertical="center"/>
      <protection/>
    </xf>
    <xf numFmtId="0" fontId="2" fillId="0" borderId="1" xfId="20" applyFont="1" applyBorder="1" applyAlignment="1">
      <alignment horizontal="left" vertical="center"/>
      <protection/>
    </xf>
    <xf numFmtId="0" fontId="2" fillId="0" borderId="2" xfId="20" applyFont="1" applyBorder="1" applyAlignment="1">
      <alignment vertical="center" wrapText="1"/>
      <protection/>
    </xf>
    <xf numFmtId="0" fontId="2" fillId="0" borderId="14" xfId="20" applyFont="1" applyBorder="1" applyAlignment="1">
      <alignment vertical="center" wrapText="1"/>
      <protection/>
    </xf>
    <xf numFmtId="0" fontId="3" fillId="20" borderId="1" xfId="0" applyFont="1" applyFill="1" applyBorder="1" applyAlignment="1">
      <alignment vertical="center"/>
    </xf>
    <xf numFmtId="0" fontId="21" fillId="3" borderId="1" xfId="0" applyFont="1" applyFill="1" applyBorder="1" applyAlignment="1">
      <alignment horizontal="left" vertical="center"/>
    </xf>
    <xf numFmtId="0" fontId="10" fillId="0" borderId="1" xfId="20" applyFont="1" applyBorder="1" applyAlignment="1">
      <alignment vertical="center"/>
      <protection/>
    </xf>
    <xf numFmtId="0" fontId="10" fillId="0" borderId="1" xfId="20" applyFont="1" applyBorder="1" applyAlignment="1">
      <alignment horizontal="left" vertical="center"/>
      <protection/>
    </xf>
    <xf numFmtId="0" fontId="3" fillId="6" borderId="1" xfId="0" applyFont="1" applyFill="1" applyBorder="1" applyAlignment="1">
      <alignment horizontal="left" vertical="center"/>
    </xf>
    <xf numFmtId="0" fontId="2" fillId="30" borderId="1" xfId="20" applyFont="1" applyFill="1" applyBorder="1" applyAlignment="1">
      <alignment horizontal="center" vertical="center"/>
      <protection/>
    </xf>
    <xf numFmtId="0" fontId="3" fillId="0" borderId="1" xfId="20" applyFont="1" applyBorder="1" applyAlignment="1">
      <alignment horizontal="center" vertical="center"/>
      <protection/>
    </xf>
    <xf numFmtId="0" fontId="21" fillId="30" borderId="1" xfId="20" applyFont="1" applyFill="1" applyBorder="1" applyAlignment="1">
      <alignment horizontal="center" vertical="center"/>
      <protection/>
    </xf>
    <xf numFmtId="164" fontId="5" fillId="0" borderId="1" xfId="20" applyNumberFormat="1" applyFont="1" applyBorder="1" applyAlignment="1">
      <alignment horizontal="center" vertical="center" wrapText="1"/>
      <protection/>
    </xf>
    <xf numFmtId="172" fontId="5" fillId="0" borderId="1" xfId="20" applyNumberFormat="1" applyFont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left" vertical="center"/>
    </xf>
    <xf numFmtId="0" fontId="4" fillId="0" borderId="4" xfId="20" applyFont="1" applyBorder="1" applyAlignment="1">
      <alignment horizontal="left" vertical="center" wrapText="1"/>
      <protection/>
    </xf>
    <xf numFmtId="0" fontId="4" fillId="0" borderId="1" xfId="20" applyFont="1" applyBorder="1" applyAlignment="1">
      <alignment vertical="center" wrapText="1"/>
      <protection/>
    </xf>
    <xf numFmtId="0" fontId="2" fillId="3" borderId="1" xfId="20" applyFont="1" applyFill="1" applyBorder="1" applyAlignment="1">
      <alignment vertical="center" wrapText="1"/>
      <protection/>
    </xf>
    <xf numFmtId="4" fontId="2" fillId="0" borderId="1" xfId="0" applyNumberFormat="1" applyFont="1" applyBorder="1" applyAlignment="1">
      <alignment vertical="center"/>
    </xf>
    <xf numFmtId="0" fontId="2" fillId="7" borderId="1" xfId="20" applyFont="1" applyFill="1" applyBorder="1" applyAlignment="1">
      <alignment vertical="center" wrapText="1"/>
      <protection/>
    </xf>
    <xf numFmtId="0" fontId="3" fillId="24" borderId="1" xfId="20" applyFont="1" applyFill="1" applyBorder="1" applyAlignment="1">
      <alignment vertical="center"/>
      <protection/>
    </xf>
    <xf numFmtId="0" fontId="3" fillId="0" borderId="1" xfId="20" applyFont="1" applyBorder="1" applyAlignment="1">
      <alignment vertical="center"/>
      <protection/>
    </xf>
    <xf numFmtId="0" fontId="4" fillId="0" borderId="11" xfId="20" applyFont="1" applyBorder="1" applyAlignment="1">
      <alignment vertical="center"/>
      <protection/>
    </xf>
    <xf numFmtId="0" fontId="2" fillId="0" borderId="6" xfId="20" applyFont="1" applyBorder="1" applyAlignment="1">
      <alignment vertical="center" wrapText="1"/>
      <protection/>
    </xf>
    <xf numFmtId="0" fontId="2" fillId="7" borderId="1" xfId="20" applyFont="1" applyFill="1" applyBorder="1" applyAlignment="1">
      <alignment horizontal="left" vertical="center"/>
      <protection/>
    </xf>
    <xf numFmtId="0" fontId="3" fillId="0" borderId="2" xfId="20" applyFont="1" applyBorder="1" applyAlignment="1">
      <alignment horizontal="left" vertical="center"/>
      <protection/>
    </xf>
    <xf numFmtId="0" fontId="3" fillId="0" borderId="3" xfId="20" applyFont="1" applyBorder="1" applyAlignment="1">
      <alignment horizontal="left" vertical="center"/>
      <protection/>
    </xf>
    <xf numFmtId="0" fontId="3" fillId="0" borderId="14" xfId="20" applyFont="1" applyBorder="1" applyAlignment="1">
      <alignment horizontal="left" vertical="center"/>
      <protection/>
    </xf>
    <xf numFmtId="0" fontId="2" fillId="0" borderId="2" xfId="20" applyFont="1" applyBorder="1" applyAlignment="1">
      <alignment vertical="center"/>
      <protection/>
    </xf>
    <xf numFmtId="0" fontId="2" fillId="0" borderId="3" xfId="20" applyFont="1" applyBorder="1" applyAlignment="1">
      <alignment vertical="center"/>
      <protection/>
    </xf>
    <xf numFmtId="0" fontId="2" fillId="0" borderId="14" xfId="20" applyFont="1" applyBorder="1" applyAlignment="1">
      <alignment vertical="center"/>
      <protection/>
    </xf>
    <xf numFmtId="4" fontId="2" fillId="3" borderId="2" xfId="0" applyNumberFormat="1" applyFont="1" applyFill="1" applyBorder="1" applyAlignment="1">
      <alignment vertical="center" wrapText="1"/>
    </xf>
    <xf numFmtId="4" fontId="2" fillId="3" borderId="14" xfId="0" applyNumberFormat="1" applyFont="1" applyFill="1" applyBorder="1" applyAlignment="1">
      <alignment vertical="center" wrapText="1"/>
    </xf>
    <xf numFmtId="0" fontId="3" fillId="28" borderId="1" xfId="20" applyFont="1" applyFill="1" applyBorder="1" applyAlignment="1">
      <alignment horizontal="left" vertical="center"/>
      <protection/>
    </xf>
    <xf numFmtId="0" fontId="3" fillId="0" borderId="1" xfId="20" applyFont="1" applyBorder="1" applyAlignment="1">
      <alignment horizontal="left" vertical="center"/>
      <protection/>
    </xf>
    <xf numFmtId="0" fontId="3" fillId="21" borderId="1" xfId="20" applyFont="1" applyFill="1" applyBorder="1" applyAlignment="1">
      <alignment horizontal="left" vertical="center"/>
      <protection/>
    </xf>
    <xf numFmtId="0" fontId="2" fillId="0" borderId="1" xfId="20" applyFont="1" applyBorder="1" applyAlignment="1">
      <alignment horizontal="left" vertical="center" wrapText="1"/>
      <protection/>
    </xf>
    <xf numFmtId="0" fontId="2" fillId="3" borderId="1" xfId="20" applyFont="1" applyFill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3" fillId="5" borderId="1" xfId="20" applyFont="1" applyFill="1" applyBorder="1" applyAlignment="1">
      <alignment vertical="center"/>
      <protection/>
    </xf>
    <xf numFmtId="49" fontId="5" fillId="0" borderId="1" xfId="20" applyNumberFormat="1" applyFont="1" applyBorder="1" applyAlignment="1">
      <alignment horizontal="center" vertical="center" wrapText="1"/>
      <protection/>
    </xf>
    <xf numFmtId="0" fontId="3" fillId="19" borderId="1" xfId="20" applyFont="1" applyFill="1" applyBorder="1" applyAlignment="1">
      <alignment vertical="center"/>
      <protection/>
    </xf>
    <xf numFmtId="0" fontId="21" fillId="0" borderId="1" xfId="20" applyFont="1" applyBorder="1" applyAlignment="1">
      <alignment horizontal="center" vertical="center" wrapText="1"/>
      <protection/>
    </xf>
    <xf numFmtId="0" fontId="5" fillId="0" borderId="1" xfId="20" applyFont="1" applyBorder="1" applyAlignment="1">
      <alignment horizontal="left" vertical="center"/>
      <protection/>
    </xf>
    <xf numFmtId="0" fontId="3" fillId="19" borderId="1" xfId="20" applyFont="1" applyFill="1" applyBorder="1" applyAlignment="1">
      <alignment horizontal="left" vertical="center"/>
      <protection/>
    </xf>
    <xf numFmtId="0" fontId="5" fillId="0" borderId="1" xfId="20" applyFont="1" applyBorder="1" applyAlignment="1">
      <alignment horizontal="left" vertical="center" wrapText="1"/>
      <protection/>
    </xf>
    <xf numFmtId="0" fontId="3" fillId="26" borderId="1" xfId="20" applyFont="1" applyFill="1" applyBorder="1" applyAlignment="1">
      <alignment vertical="center"/>
      <protection/>
    </xf>
    <xf numFmtId="0" fontId="3" fillId="26" borderId="1" xfId="20" applyFont="1" applyFill="1" applyBorder="1" applyAlignment="1">
      <alignment vertical="center" wrapText="1"/>
      <protection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1" fillId="17" borderId="1" xfId="20" applyFont="1" applyFill="1" applyBorder="1" applyAlignment="1">
      <alignment horizontal="left" vertical="center"/>
      <protection/>
    </xf>
    <xf numFmtId="0" fontId="4" fillId="0" borderId="1" xfId="20" applyFont="1" applyBorder="1" applyAlignment="1">
      <alignment horizontal="left" vertical="center" wrapText="1"/>
      <protection/>
    </xf>
    <xf numFmtId="0" fontId="3" fillId="0" borderId="0" xfId="26" applyFont="1" applyAlignment="1">
      <alignment horizontal="left" vertical="center" wrapText="1"/>
      <protection/>
    </xf>
    <xf numFmtId="0" fontId="3" fillId="0" borderId="0" xfId="20" applyFont="1" applyAlignment="1">
      <alignment horizontal="center" vertical="center" wrapText="1"/>
      <protection/>
    </xf>
    <xf numFmtId="0" fontId="2" fillId="0" borderId="0" xfId="26" applyFont="1" applyAlignment="1">
      <alignment vertical="center" wrapText="1"/>
      <protection/>
    </xf>
    <xf numFmtId="0" fontId="2" fillId="0" borderId="1" xfId="25" applyFont="1" applyBorder="1" applyAlignment="1">
      <alignment horizontal="left" vertical="center"/>
    </xf>
    <xf numFmtId="4" fontId="2" fillId="7" borderId="1" xfId="0" applyNumberFormat="1" applyFont="1" applyFill="1" applyBorder="1" applyAlignment="1">
      <alignment vertical="center"/>
    </xf>
    <xf numFmtId="0" fontId="2" fillId="7" borderId="1" xfId="0" applyFont="1" applyFill="1" applyBorder="1" applyAlignment="1">
      <alignment vertical="center"/>
    </xf>
    <xf numFmtId="0" fontId="3" fillId="11" borderId="1" xfId="20" applyFont="1" applyFill="1" applyBorder="1" applyAlignment="1">
      <alignment vertical="center"/>
      <protection/>
    </xf>
    <xf numFmtId="0" fontId="3" fillId="9" borderId="2" xfId="26" applyFont="1" applyFill="1" applyBorder="1" applyAlignment="1">
      <alignment horizontal="left" vertical="center"/>
      <protection/>
    </xf>
    <xf numFmtId="0" fontId="3" fillId="9" borderId="3" xfId="26" applyFont="1" applyFill="1" applyBorder="1" applyAlignment="1">
      <alignment horizontal="left" vertical="center"/>
      <protection/>
    </xf>
    <xf numFmtId="0" fontId="3" fillId="9" borderId="14" xfId="26" applyFont="1" applyFill="1" applyBorder="1" applyAlignment="1">
      <alignment horizontal="left" vertical="center"/>
      <protection/>
    </xf>
    <xf numFmtId="0" fontId="5" fillId="5" borderId="1" xfId="20" applyFont="1" applyFill="1" applyBorder="1" applyAlignment="1">
      <alignment horizontal="left" vertical="center"/>
      <protection/>
    </xf>
    <xf numFmtId="0" fontId="5" fillId="14" borderId="1" xfId="20" applyFont="1" applyFill="1" applyBorder="1" applyAlignment="1">
      <alignment horizontal="left" vertical="center"/>
      <protection/>
    </xf>
    <xf numFmtId="0" fontId="21" fillId="19" borderId="1" xfId="20" applyFont="1" applyFill="1" applyBorder="1" applyAlignment="1">
      <alignment vertical="center"/>
      <protection/>
    </xf>
    <xf numFmtId="0" fontId="3" fillId="0" borderId="2" xfId="26" applyFont="1" applyBorder="1" applyAlignment="1">
      <alignment horizontal="left" vertical="center"/>
      <protection/>
    </xf>
    <xf numFmtId="0" fontId="3" fillId="0" borderId="3" xfId="26" applyFont="1" applyBorder="1" applyAlignment="1">
      <alignment horizontal="left" vertical="center"/>
      <protection/>
    </xf>
    <xf numFmtId="0" fontId="3" fillId="0" borderId="14" xfId="26" applyFont="1" applyBorder="1" applyAlignment="1">
      <alignment horizontal="left" vertical="center"/>
      <protection/>
    </xf>
    <xf numFmtId="0" fontId="3" fillId="13" borderId="2" xfId="20" applyFont="1" applyFill="1" applyBorder="1" applyAlignment="1">
      <alignment horizontal="left" vertical="center"/>
      <protection/>
    </xf>
    <xf numFmtId="0" fontId="3" fillId="13" borderId="3" xfId="20" applyFont="1" applyFill="1" applyBorder="1" applyAlignment="1">
      <alignment horizontal="left" vertical="center"/>
      <protection/>
    </xf>
    <xf numFmtId="0" fontId="3" fillId="13" borderId="14" xfId="20" applyFont="1" applyFill="1" applyBorder="1" applyAlignment="1">
      <alignment horizontal="left" vertical="center"/>
      <protection/>
    </xf>
    <xf numFmtId="0" fontId="3" fillId="16" borderId="1" xfId="20" applyFont="1" applyFill="1" applyBorder="1" applyAlignment="1">
      <alignment horizontal="left" vertical="center"/>
      <protection/>
    </xf>
    <xf numFmtId="0" fontId="4" fillId="0" borderId="6" xfId="20" applyFont="1" applyBorder="1" applyAlignment="1">
      <alignment vertical="center"/>
      <protection/>
    </xf>
    <xf numFmtId="0" fontId="2" fillId="0" borderId="15" xfId="20" applyFont="1" applyBorder="1" applyAlignment="1">
      <alignment vertical="center" wrapText="1"/>
      <protection/>
    </xf>
    <xf numFmtId="0" fontId="2" fillId="0" borderId="16" xfId="20" applyFont="1" applyBorder="1" applyAlignment="1">
      <alignment vertical="center" wrapText="1"/>
      <protection/>
    </xf>
    <xf numFmtId="0" fontId="4" fillId="0" borderId="1" xfId="20" applyFont="1" applyBorder="1" applyAlignment="1">
      <alignment vertical="center"/>
      <protection/>
    </xf>
    <xf numFmtId="0" fontId="21" fillId="0" borderId="1" xfId="20" applyFont="1" applyBorder="1" applyAlignment="1">
      <alignment horizontal="left" vertical="center"/>
      <protection/>
    </xf>
    <xf numFmtId="0" fontId="2" fillId="3" borderId="1" xfId="20" applyFont="1" applyFill="1" applyBorder="1" applyAlignment="1">
      <alignment horizontal="left" vertical="center" wrapText="1"/>
      <protection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vertical="center" wrapText="1"/>
    </xf>
    <xf numFmtId="0" fontId="21" fillId="0" borderId="1" xfId="20" applyFont="1" applyBorder="1" applyAlignment="1">
      <alignment vertical="center"/>
      <protection/>
    </xf>
    <xf numFmtId="0" fontId="21" fillId="16" borderId="1" xfId="20" applyFont="1" applyFill="1" applyBorder="1" applyAlignment="1">
      <alignment horizontal="left" vertical="center"/>
      <protection/>
    </xf>
    <xf numFmtId="1" fontId="10" fillId="0" borderId="2" xfId="20" applyNumberFormat="1" applyFont="1" applyBorder="1" applyAlignment="1">
      <alignment horizontal="center" vertical="center"/>
      <protection/>
    </xf>
    <xf numFmtId="1" fontId="10" fillId="0" borderId="3" xfId="20" applyNumberFormat="1" applyFont="1" applyBorder="1" applyAlignment="1">
      <alignment horizontal="center" vertical="center"/>
      <protection/>
    </xf>
    <xf numFmtId="1" fontId="10" fillId="0" borderId="14" xfId="20" applyNumberFormat="1" applyFont="1" applyBorder="1" applyAlignment="1">
      <alignment horizontal="center" vertical="center"/>
      <protection/>
    </xf>
    <xf numFmtId="0" fontId="21" fillId="23" borderId="1" xfId="20" applyFont="1" applyFill="1" applyBorder="1" applyAlignment="1">
      <alignment vertical="center"/>
      <protection/>
    </xf>
    <xf numFmtId="0" fontId="5" fillId="19" borderId="1" xfId="20" applyFont="1" applyFill="1" applyBorder="1" applyAlignment="1">
      <alignment horizontal="left" vertical="center"/>
      <protection/>
    </xf>
    <xf numFmtId="0" fontId="5" fillId="22" borderId="1" xfId="20" applyFont="1" applyFill="1" applyBorder="1" applyAlignment="1">
      <alignment horizontal="left" vertical="center"/>
      <protection/>
    </xf>
    <xf numFmtId="165" fontId="3" fillId="0" borderId="1" xfId="20" applyNumberFormat="1" applyFont="1" applyBorder="1" applyAlignment="1">
      <alignment vertical="center"/>
      <protection/>
    </xf>
    <xf numFmtId="0" fontId="3" fillId="21" borderId="1" xfId="20" applyFont="1" applyFill="1" applyBorder="1" applyAlignment="1">
      <alignment vertical="center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ální 10" xfId="21"/>
    <cellStyle name="Normální 2" xfId="22"/>
    <cellStyle name="Normální 10 2" xfId="23"/>
    <cellStyle name="Normální 2 2" xfId="24"/>
    <cellStyle name="Vysvětlující text" xfId="25"/>
    <cellStyle name="Normal 3" xfId="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83"/>
  <sheetViews>
    <sheetView tabSelected="1" view="pageBreakPreview" zoomScale="75" zoomScaleSheetLayoutView="75" workbookViewId="0" topLeftCell="A373">
      <selection activeCell="C9" sqref="C9:E9"/>
    </sheetView>
  </sheetViews>
  <sheetFormatPr defaultColWidth="9.140625" defaultRowHeight="12.75"/>
  <cols>
    <col min="1" max="1" width="14.140625" style="3" customWidth="1"/>
    <col min="2" max="2" width="47.140625" style="1" customWidth="1"/>
    <col min="3" max="3" width="60.28125" style="1" customWidth="1"/>
    <col min="4" max="4" width="12.28125" style="12" customWidth="1"/>
    <col min="5" max="5" width="11.00390625" style="88" customWidth="1"/>
    <col min="6" max="6" width="13.140625" style="88" customWidth="1"/>
    <col min="7" max="7" width="11.00390625" style="88" customWidth="1"/>
    <col min="8" max="8" width="14.28125" style="98" customWidth="1"/>
    <col min="9" max="9" width="19.140625" style="4" customWidth="1"/>
    <col min="10" max="10" width="21.28125" style="23" customWidth="1"/>
    <col min="11" max="11" width="25.28125" style="2" customWidth="1"/>
    <col min="12" max="16384" width="9.140625" style="2" customWidth="1"/>
  </cols>
  <sheetData>
    <row r="1" spans="1:11" s="45" customFormat="1" ht="24.95" customHeight="1">
      <c r="A1" s="42"/>
      <c r="B1" s="43"/>
      <c r="C1" s="43"/>
      <c r="D1" s="42"/>
      <c r="E1" s="42"/>
      <c r="F1" s="42"/>
      <c r="G1" s="42"/>
      <c r="H1" s="42"/>
      <c r="I1" s="42"/>
      <c r="J1" s="42"/>
      <c r="K1" s="42"/>
    </row>
    <row r="2" spans="1:11" s="45" customFormat="1" ht="24.95" customHeight="1">
      <c r="A2" s="42"/>
      <c r="B2" s="43"/>
      <c r="C2" s="43"/>
      <c r="D2" s="42"/>
      <c r="E2" s="42"/>
      <c r="F2" s="42"/>
      <c r="G2" s="42"/>
      <c r="H2" s="42"/>
      <c r="I2" s="42"/>
      <c r="J2" s="42"/>
      <c r="K2" s="42"/>
    </row>
    <row r="3" spans="1:11" ht="24.95" customHeight="1">
      <c r="A3" s="46"/>
      <c r="B3" s="47" t="s">
        <v>282</v>
      </c>
      <c r="C3" s="369" t="s">
        <v>368</v>
      </c>
      <c r="D3" s="369"/>
      <c r="E3" s="369"/>
      <c r="F3" s="369"/>
      <c r="G3" s="84"/>
      <c r="H3" s="84"/>
      <c r="I3" s="48"/>
      <c r="J3" s="48"/>
      <c r="K3" s="48"/>
    </row>
    <row r="4" spans="1:11" ht="24.95" customHeight="1">
      <c r="A4" s="46"/>
      <c r="B4" s="49"/>
      <c r="C4" s="370"/>
      <c r="D4" s="370"/>
      <c r="E4" s="370"/>
      <c r="F4" s="370"/>
      <c r="G4" s="85"/>
      <c r="H4" s="85"/>
      <c r="I4" s="50"/>
      <c r="J4" s="50"/>
      <c r="K4" s="50"/>
    </row>
    <row r="5" spans="1:11" ht="24.95" customHeight="1">
      <c r="A5" s="46"/>
      <c r="B5" s="47" t="s">
        <v>283</v>
      </c>
      <c r="C5" s="371" t="s">
        <v>302</v>
      </c>
      <c r="D5" s="371"/>
      <c r="E5" s="371"/>
      <c r="F5" s="371"/>
      <c r="G5" s="84"/>
      <c r="H5" s="84"/>
      <c r="I5" s="48"/>
      <c r="J5" s="48"/>
      <c r="K5" s="48"/>
    </row>
    <row r="6" spans="1:11" ht="24.95" customHeight="1">
      <c r="A6" s="46"/>
      <c r="B6" s="49"/>
      <c r="C6" s="49"/>
      <c r="D6" s="50"/>
      <c r="E6" s="85"/>
      <c r="F6" s="85"/>
      <c r="G6" s="85"/>
      <c r="H6" s="85"/>
      <c r="I6" s="50"/>
      <c r="J6" s="50"/>
      <c r="K6" s="50"/>
    </row>
    <row r="7" spans="1:10" ht="24.95" customHeight="1">
      <c r="A7" s="46"/>
      <c r="B7" s="47" t="s">
        <v>284</v>
      </c>
      <c r="C7" s="371" t="s">
        <v>303</v>
      </c>
      <c r="D7" s="371"/>
      <c r="E7" s="371"/>
      <c r="F7" s="86"/>
      <c r="G7" s="118" t="s">
        <v>285</v>
      </c>
      <c r="H7" s="87"/>
      <c r="I7" s="51"/>
      <c r="J7" s="131"/>
    </row>
    <row r="8" spans="1:11" ht="24.95" customHeight="1">
      <c r="A8" s="46"/>
      <c r="B8" s="52"/>
      <c r="C8" s="371" t="s">
        <v>304</v>
      </c>
      <c r="D8" s="371"/>
      <c r="E8" s="371"/>
      <c r="F8" s="86"/>
      <c r="G8" s="86"/>
      <c r="H8" s="88"/>
      <c r="I8" s="48"/>
      <c r="J8" s="48"/>
      <c r="K8" s="48"/>
    </row>
    <row r="9" spans="1:11" ht="24.95" customHeight="1">
      <c r="A9" s="46"/>
      <c r="B9" s="52"/>
      <c r="C9" s="371" t="s">
        <v>305</v>
      </c>
      <c r="D9" s="371"/>
      <c r="E9" s="371"/>
      <c r="F9" s="84"/>
      <c r="G9" s="84"/>
      <c r="H9" s="84"/>
      <c r="I9" s="48"/>
      <c r="J9" s="48"/>
      <c r="K9" s="48"/>
    </row>
    <row r="10" spans="1:11" ht="24.95" customHeight="1">
      <c r="A10" s="46"/>
      <c r="B10" s="52"/>
      <c r="C10" s="52"/>
      <c r="D10" s="48"/>
      <c r="E10" s="84"/>
      <c r="F10" s="84"/>
      <c r="G10" s="84"/>
      <c r="H10" s="84"/>
      <c r="I10" s="48"/>
      <c r="J10" s="48"/>
      <c r="K10" s="48"/>
    </row>
    <row r="11" spans="1:11" ht="24.95" customHeight="1">
      <c r="A11" s="46"/>
      <c r="B11" s="49"/>
      <c r="C11" s="49"/>
      <c r="D11" s="50"/>
      <c r="E11" s="85"/>
      <c r="F11" s="85"/>
      <c r="G11" s="85"/>
      <c r="H11" s="85"/>
      <c r="I11" s="50"/>
      <c r="J11" s="50"/>
      <c r="K11" s="50"/>
    </row>
    <row r="12" spans="1:11" ht="24.95" customHeight="1">
      <c r="A12" s="46"/>
      <c r="B12" s="47" t="s">
        <v>286</v>
      </c>
      <c r="C12" s="52"/>
      <c r="D12" s="48"/>
      <c r="E12" s="84"/>
      <c r="F12" s="84"/>
      <c r="G12" s="84"/>
      <c r="H12" s="84"/>
      <c r="I12" s="48"/>
      <c r="J12" s="48"/>
      <c r="K12" s="48"/>
    </row>
    <row r="13" spans="1:11" ht="24.95" customHeight="1">
      <c r="A13" s="46"/>
      <c r="B13" s="49"/>
      <c r="C13" s="49"/>
      <c r="D13" s="50"/>
      <c r="E13" s="85"/>
      <c r="F13" s="85"/>
      <c r="G13" s="85"/>
      <c r="H13" s="85"/>
      <c r="I13" s="50"/>
      <c r="J13" s="50"/>
      <c r="K13" s="50"/>
    </row>
    <row r="14" spans="1:11" ht="24.95" customHeight="1">
      <c r="A14" s="46"/>
      <c r="B14" s="49"/>
      <c r="C14" s="49"/>
      <c r="D14" s="50"/>
      <c r="E14" s="85"/>
      <c r="F14" s="85"/>
      <c r="G14" s="85"/>
      <c r="H14" s="85"/>
      <c r="I14" s="50"/>
      <c r="J14" s="50"/>
      <c r="K14" s="50"/>
    </row>
    <row r="15" spans="1:11" ht="24.95" customHeight="1">
      <c r="A15" s="46"/>
      <c r="B15" s="49"/>
      <c r="C15" s="49"/>
      <c r="D15" s="50"/>
      <c r="E15" s="85"/>
      <c r="F15" s="85"/>
      <c r="G15" s="85"/>
      <c r="H15" s="85"/>
      <c r="I15" s="50"/>
      <c r="J15" s="50"/>
      <c r="K15" s="50"/>
    </row>
    <row r="16" spans="1:11" ht="24.95" customHeight="1">
      <c r="A16" s="46"/>
      <c r="B16" s="49"/>
      <c r="C16" s="49"/>
      <c r="D16" s="50"/>
      <c r="E16" s="85"/>
      <c r="F16" s="85"/>
      <c r="G16" s="85"/>
      <c r="H16" s="85"/>
      <c r="I16" s="50"/>
      <c r="J16" s="50"/>
      <c r="K16" s="50"/>
    </row>
    <row r="17" spans="1:11" ht="24.95" customHeight="1">
      <c r="A17" s="46"/>
      <c r="B17" s="49"/>
      <c r="C17" s="49"/>
      <c r="D17" s="50"/>
      <c r="E17" s="85"/>
      <c r="F17" s="85"/>
      <c r="G17" s="85"/>
      <c r="H17" s="85"/>
      <c r="I17" s="50"/>
      <c r="J17" s="50"/>
      <c r="K17" s="50"/>
    </row>
    <row r="18" spans="1:11" ht="24.95" customHeight="1">
      <c r="A18" s="46"/>
      <c r="B18" s="47" t="s">
        <v>287</v>
      </c>
      <c r="C18" s="52" t="s">
        <v>288</v>
      </c>
      <c r="D18" s="48"/>
      <c r="E18" s="84"/>
      <c r="F18" s="84"/>
      <c r="G18" s="84"/>
      <c r="H18" s="84"/>
      <c r="I18" s="48"/>
      <c r="J18" s="48"/>
      <c r="K18" s="48"/>
    </row>
    <row r="19" spans="1:11" ht="24.95" customHeight="1">
      <c r="A19" s="46"/>
      <c r="B19" s="52"/>
      <c r="C19" s="52" t="s">
        <v>289</v>
      </c>
      <c r="D19" s="48"/>
      <c r="E19" s="84"/>
      <c r="F19" s="84"/>
      <c r="G19" s="84"/>
      <c r="H19" s="84"/>
      <c r="I19" s="48"/>
      <c r="J19" s="48"/>
      <c r="K19" s="48"/>
    </row>
    <row r="20" spans="1:11" ht="24.95" customHeight="1">
      <c r="A20" s="46"/>
      <c r="B20" s="52"/>
      <c r="C20" s="52" t="s">
        <v>290</v>
      </c>
      <c r="D20" s="48"/>
      <c r="E20" s="84"/>
      <c r="F20" s="84"/>
      <c r="G20" s="84"/>
      <c r="H20" s="84"/>
      <c r="I20" s="48"/>
      <c r="J20" s="48"/>
      <c r="K20" s="48"/>
    </row>
    <row r="21" spans="1:11" ht="24.95" customHeight="1">
      <c r="A21" s="46"/>
      <c r="B21" s="52"/>
      <c r="C21" s="52" t="s">
        <v>291</v>
      </c>
      <c r="D21" s="48"/>
      <c r="E21" s="84"/>
      <c r="F21" s="84"/>
      <c r="G21" s="84"/>
      <c r="H21" s="84"/>
      <c r="I21" s="48"/>
      <c r="J21" s="48"/>
      <c r="K21" s="48"/>
    </row>
    <row r="22" spans="1:11" ht="24.95" customHeight="1">
      <c r="A22" s="46"/>
      <c r="B22" s="52"/>
      <c r="C22" s="52" t="s">
        <v>292</v>
      </c>
      <c r="D22" s="48"/>
      <c r="E22" s="84"/>
      <c r="F22" s="84"/>
      <c r="G22" s="84"/>
      <c r="H22" s="84"/>
      <c r="I22" s="48"/>
      <c r="J22" s="48"/>
      <c r="K22" s="48"/>
    </row>
    <row r="23" spans="1:11" ht="24.95" customHeight="1">
      <c r="A23" s="46"/>
      <c r="B23" s="49"/>
      <c r="C23" s="49"/>
      <c r="D23" s="50"/>
      <c r="E23" s="85"/>
      <c r="F23" s="85"/>
      <c r="G23" s="85"/>
      <c r="H23" s="85"/>
      <c r="I23" s="50"/>
      <c r="J23" s="50"/>
      <c r="K23" s="50"/>
    </row>
    <row r="24" spans="1:11" ht="24.95" customHeight="1">
      <c r="A24" s="46"/>
      <c r="B24" s="47" t="s">
        <v>293</v>
      </c>
      <c r="C24" s="52" t="s">
        <v>364</v>
      </c>
      <c r="D24" s="50"/>
      <c r="E24" s="85"/>
      <c r="F24" s="85"/>
      <c r="G24" s="85"/>
      <c r="H24" s="85"/>
      <c r="I24" s="50"/>
      <c r="J24" s="50"/>
      <c r="K24" s="50"/>
    </row>
    <row r="25" spans="1:11" ht="24.95" customHeight="1">
      <c r="A25" s="46"/>
      <c r="B25" s="49"/>
      <c r="C25" s="49"/>
      <c r="D25" s="50"/>
      <c r="E25" s="85"/>
      <c r="F25" s="85"/>
      <c r="G25" s="85"/>
      <c r="H25" s="85"/>
      <c r="I25" s="50"/>
      <c r="J25" s="50"/>
      <c r="K25" s="50"/>
    </row>
    <row r="26" spans="1:11" ht="24.95" customHeight="1">
      <c r="A26" s="46"/>
      <c r="B26" s="49"/>
      <c r="C26" s="49"/>
      <c r="D26" s="50"/>
      <c r="E26" s="85"/>
      <c r="F26" s="85"/>
      <c r="G26" s="85"/>
      <c r="H26" s="85"/>
      <c r="I26" s="50"/>
      <c r="J26" s="50"/>
      <c r="K26" s="50"/>
    </row>
    <row r="27" spans="1:11" ht="24.95" customHeight="1">
      <c r="A27" s="46"/>
      <c r="B27" s="49"/>
      <c r="C27" s="49"/>
      <c r="D27" s="50"/>
      <c r="E27" s="85"/>
      <c r="F27" s="85"/>
      <c r="G27" s="85"/>
      <c r="H27" s="85"/>
      <c r="I27" s="50"/>
      <c r="J27" s="50"/>
      <c r="K27" s="50"/>
    </row>
    <row r="28" spans="1:11" ht="24.95" customHeight="1">
      <c r="A28" s="46"/>
      <c r="B28" s="53"/>
      <c r="C28" s="53"/>
      <c r="D28" s="54"/>
      <c r="E28" s="89"/>
      <c r="F28" s="89"/>
      <c r="G28" s="89"/>
      <c r="H28" s="89"/>
      <c r="I28" s="54"/>
      <c r="J28" s="55"/>
      <c r="K28" s="54"/>
    </row>
    <row r="29" spans="1:10" ht="35.1" customHeight="1">
      <c r="A29" s="56"/>
      <c r="B29" s="376" t="s">
        <v>294</v>
      </c>
      <c r="C29" s="377"/>
      <c r="D29" s="377"/>
      <c r="E29" s="377"/>
      <c r="F29" s="377"/>
      <c r="G29" s="377"/>
      <c r="H29" s="377"/>
      <c r="I29" s="378"/>
      <c r="J29" s="57">
        <f>SUM(J56)</f>
        <v>0</v>
      </c>
    </row>
    <row r="30" spans="1:11" ht="26.25" customHeight="1">
      <c r="A30" s="1"/>
      <c r="B30" s="58"/>
      <c r="C30" s="58"/>
      <c r="D30" s="59"/>
      <c r="E30" s="25"/>
      <c r="F30" s="25"/>
      <c r="G30" s="25"/>
      <c r="H30" s="25"/>
      <c r="I30" s="59"/>
      <c r="J30" s="59"/>
      <c r="K30" s="59"/>
    </row>
    <row r="31" spans="1:10" ht="24.95" customHeight="1">
      <c r="A31" s="12"/>
      <c r="B31" s="60"/>
      <c r="C31" s="60"/>
      <c r="D31" s="2"/>
      <c r="E31" s="45"/>
      <c r="F31" s="45"/>
      <c r="G31" s="45"/>
      <c r="H31" s="45"/>
      <c r="I31" s="2"/>
      <c r="J31" s="2"/>
    </row>
    <row r="32" spans="1:11" ht="24.95" customHeight="1">
      <c r="A32" s="46"/>
      <c r="B32" s="61"/>
      <c r="C32" s="61"/>
      <c r="D32" s="46"/>
      <c r="E32" s="42"/>
      <c r="F32" s="42"/>
      <c r="G32" s="42"/>
      <c r="H32" s="42"/>
      <c r="I32" s="46"/>
      <c r="J32" s="46"/>
      <c r="K32" s="46"/>
    </row>
    <row r="33" spans="1:11" ht="24.95" customHeight="1">
      <c r="A33" s="46"/>
      <c r="B33" s="61"/>
      <c r="C33" s="61"/>
      <c r="D33" s="46"/>
      <c r="E33" s="42"/>
      <c r="F33" s="42"/>
      <c r="G33" s="42"/>
      <c r="H33" s="42"/>
      <c r="I33" s="46"/>
      <c r="J33" s="46"/>
      <c r="K33" s="46"/>
    </row>
    <row r="34" spans="1:11" ht="24.95" customHeight="1">
      <c r="A34" s="46"/>
      <c r="B34" s="52" t="s">
        <v>282</v>
      </c>
      <c r="C34" s="371" t="s">
        <v>363</v>
      </c>
      <c r="D34" s="371"/>
      <c r="E34" s="371"/>
      <c r="F34" s="371"/>
      <c r="G34" s="84"/>
      <c r="H34" s="84"/>
      <c r="I34" s="48"/>
      <c r="J34" s="48"/>
      <c r="K34" s="48"/>
    </row>
    <row r="35" spans="1:11" ht="24.95" customHeight="1">
      <c r="A35" s="46"/>
      <c r="B35" s="61"/>
      <c r="C35" s="61"/>
      <c r="D35" s="46"/>
      <c r="E35" s="42"/>
      <c r="F35" s="42"/>
      <c r="G35" s="42"/>
      <c r="H35" s="42"/>
      <c r="I35" s="46"/>
      <c r="J35" s="46"/>
      <c r="K35" s="46"/>
    </row>
    <row r="36" spans="1:11" ht="24.95" customHeight="1">
      <c r="A36" s="46"/>
      <c r="B36" s="62" t="s">
        <v>367</v>
      </c>
      <c r="C36" s="52"/>
      <c r="D36" s="48"/>
      <c r="E36" s="84"/>
      <c r="F36" s="84"/>
      <c r="G36" s="84"/>
      <c r="H36" s="84"/>
      <c r="I36" s="48"/>
      <c r="J36" s="48"/>
      <c r="K36" s="48"/>
    </row>
    <row r="37" spans="1:11" ht="24.95" customHeight="1">
      <c r="A37" s="46"/>
      <c r="B37" s="61"/>
      <c r="C37" s="61"/>
      <c r="D37" s="46"/>
      <c r="E37" s="42"/>
      <c r="F37" s="42"/>
      <c r="G37" s="42"/>
      <c r="H37" s="42"/>
      <c r="I37" s="46"/>
      <c r="J37" s="2"/>
      <c r="K37" s="46"/>
    </row>
    <row r="38" spans="1:10" ht="24.95" customHeight="1">
      <c r="A38" s="46"/>
      <c r="B38" s="82" t="s">
        <v>0</v>
      </c>
      <c r="C38" s="83"/>
      <c r="D38" s="83"/>
      <c r="E38" s="90"/>
      <c r="F38" s="90"/>
      <c r="G38" s="90"/>
      <c r="H38" s="90"/>
      <c r="I38" s="83"/>
      <c r="J38" s="63">
        <f>SUM(J107)</f>
        <v>0</v>
      </c>
    </row>
    <row r="39" spans="1:10" ht="24.95" customHeight="1">
      <c r="A39" s="46"/>
      <c r="B39" s="52"/>
      <c r="C39" s="64"/>
      <c r="D39" s="48"/>
      <c r="E39" s="84"/>
      <c r="F39" s="84"/>
      <c r="G39" s="84"/>
      <c r="H39" s="84"/>
      <c r="I39" s="48"/>
      <c r="J39" s="48"/>
    </row>
    <row r="40" spans="1:11" ht="24.95" customHeight="1">
      <c r="A40" s="46"/>
      <c r="B40" s="80" t="s">
        <v>295</v>
      </c>
      <c r="C40" s="81"/>
      <c r="D40" s="81"/>
      <c r="E40" s="91"/>
      <c r="F40" s="91"/>
      <c r="G40" s="91"/>
      <c r="H40" s="91"/>
      <c r="I40" s="81"/>
      <c r="J40" s="65">
        <f>SUM(J159)</f>
        <v>0</v>
      </c>
      <c r="K40" s="127"/>
    </row>
    <row r="41" spans="1:10" ht="24.95" customHeight="1">
      <c r="A41" s="46"/>
      <c r="B41" s="52"/>
      <c r="C41" s="52"/>
      <c r="D41" s="48"/>
      <c r="E41" s="84"/>
      <c r="F41" s="84"/>
      <c r="G41" s="84"/>
      <c r="H41" s="84"/>
      <c r="I41" s="48"/>
      <c r="J41" s="48"/>
    </row>
    <row r="42" spans="1:10" ht="24.95" customHeight="1">
      <c r="A42" s="46"/>
      <c r="B42" s="78" t="s">
        <v>296</v>
      </c>
      <c r="C42" s="79"/>
      <c r="D42" s="79"/>
      <c r="E42" s="92"/>
      <c r="F42" s="92"/>
      <c r="G42" s="92"/>
      <c r="H42" s="92"/>
      <c r="I42" s="79"/>
      <c r="J42" s="66">
        <f>SUM(J180)</f>
        <v>0</v>
      </c>
    </row>
    <row r="43" spans="1:10" ht="24.95" customHeight="1">
      <c r="A43" s="46"/>
      <c r="B43" s="52"/>
      <c r="C43" s="52"/>
      <c r="D43" s="48"/>
      <c r="E43" s="84"/>
      <c r="F43" s="84"/>
      <c r="G43" s="84"/>
      <c r="H43" s="84"/>
      <c r="I43" s="48"/>
      <c r="J43" s="48"/>
    </row>
    <row r="44" spans="1:10" ht="24.95" customHeight="1">
      <c r="A44" s="46"/>
      <c r="B44" s="76" t="s">
        <v>297</v>
      </c>
      <c r="C44" s="77"/>
      <c r="D44" s="77"/>
      <c r="E44" s="93"/>
      <c r="F44" s="93"/>
      <c r="G44" s="93"/>
      <c r="H44" s="93"/>
      <c r="I44" s="77"/>
      <c r="J44" s="67">
        <f>SUM(J297)</f>
        <v>0</v>
      </c>
    </row>
    <row r="45" spans="1:10" ht="24.95" customHeight="1">
      <c r="A45" s="46"/>
      <c r="B45" s="52"/>
      <c r="C45" s="52"/>
      <c r="D45" s="48"/>
      <c r="E45" s="84"/>
      <c r="F45" s="84"/>
      <c r="G45" s="84"/>
      <c r="H45" s="84"/>
      <c r="I45" s="48"/>
      <c r="J45" s="48"/>
    </row>
    <row r="46" spans="1:10" ht="24.95" customHeight="1">
      <c r="A46" s="46"/>
      <c r="B46" s="74" t="s">
        <v>298</v>
      </c>
      <c r="C46" s="75"/>
      <c r="D46" s="75"/>
      <c r="E46" s="94"/>
      <c r="F46" s="94"/>
      <c r="G46" s="94"/>
      <c r="H46" s="94"/>
      <c r="I46" s="75"/>
      <c r="J46" s="137">
        <f>SUM(J320,J343,J367)</f>
        <v>0</v>
      </c>
    </row>
    <row r="47" spans="1:10" ht="24.95" customHeight="1">
      <c r="A47" s="46"/>
      <c r="B47" s="52"/>
      <c r="C47" s="52"/>
      <c r="D47" s="48"/>
      <c r="E47" s="84"/>
      <c r="F47" s="84"/>
      <c r="G47" s="84"/>
      <c r="H47" s="84"/>
      <c r="I47" s="48"/>
      <c r="J47" s="48"/>
    </row>
    <row r="48" spans="1:10" ht="24.95" customHeight="1">
      <c r="A48" s="46"/>
      <c r="B48" s="120" t="s">
        <v>275</v>
      </c>
      <c r="C48" s="121"/>
      <c r="D48" s="121"/>
      <c r="E48" s="122"/>
      <c r="F48" s="122"/>
      <c r="G48" s="122"/>
      <c r="H48" s="122"/>
      <c r="I48" s="121"/>
      <c r="J48" s="123">
        <f>SUM(J379)</f>
        <v>0</v>
      </c>
    </row>
    <row r="49" spans="1:10" ht="24.95" customHeight="1">
      <c r="A49" s="46"/>
      <c r="B49" s="68"/>
      <c r="C49" s="68"/>
      <c r="H49" s="88"/>
      <c r="I49" s="12"/>
      <c r="J49" s="128"/>
    </row>
    <row r="50" spans="1:10" ht="24.95" customHeight="1">
      <c r="A50" s="46"/>
      <c r="B50" s="342" t="s">
        <v>312</v>
      </c>
      <c r="C50" s="343"/>
      <c r="D50" s="343"/>
      <c r="E50" s="343"/>
      <c r="F50" s="343"/>
      <c r="G50" s="343"/>
      <c r="H50" s="343"/>
      <c r="I50" s="344"/>
      <c r="J50" s="124">
        <v>0</v>
      </c>
    </row>
    <row r="51" spans="1:10" ht="24.95" customHeight="1">
      <c r="A51" s="46"/>
      <c r="B51" s="68"/>
      <c r="C51" s="68"/>
      <c r="H51" s="88"/>
      <c r="I51" s="12"/>
      <c r="J51" s="128"/>
    </row>
    <row r="52" spans="1:10" s="1" customFormat="1" ht="24.95" customHeight="1">
      <c r="A52" s="46"/>
      <c r="B52" s="382" t="s">
        <v>299</v>
      </c>
      <c r="C52" s="383"/>
      <c r="D52" s="383"/>
      <c r="E52" s="383"/>
      <c r="F52" s="383"/>
      <c r="G52" s="383"/>
      <c r="H52" s="383"/>
      <c r="I52" s="384"/>
      <c r="J52" s="124">
        <f>SUM(J38,J40,J42,J46,J50,J44,J48)</f>
        <v>0</v>
      </c>
    </row>
    <row r="53" spans="1:10" ht="24.95" customHeight="1">
      <c r="A53" s="46"/>
      <c r="B53" s="61"/>
      <c r="C53" s="61"/>
      <c r="D53" s="46"/>
      <c r="E53" s="42"/>
      <c r="F53" s="42"/>
      <c r="G53" s="42"/>
      <c r="H53" s="42"/>
      <c r="I53" s="46"/>
      <c r="J53" s="129"/>
    </row>
    <row r="54" spans="1:10" s="1" customFormat="1" ht="24.95" customHeight="1">
      <c r="A54" s="46"/>
      <c r="B54" s="382" t="s">
        <v>300</v>
      </c>
      <c r="C54" s="383"/>
      <c r="D54" s="383"/>
      <c r="E54" s="383"/>
      <c r="F54" s="383"/>
      <c r="G54" s="383"/>
      <c r="H54" s="383"/>
      <c r="I54" s="384"/>
      <c r="J54" s="124">
        <f>J52*1.21-J52</f>
        <v>0</v>
      </c>
    </row>
    <row r="55" spans="1:10" ht="24.95" customHeight="1">
      <c r="A55" s="46"/>
      <c r="B55" s="61"/>
      <c r="C55" s="61"/>
      <c r="D55" s="46"/>
      <c r="E55" s="42"/>
      <c r="F55" s="42"/>
      <c r="G55" s="42"/>
      <c r="H55" s="42"/>
      <c r="I55" s="46"/>
      <c r="J55" s="129"/>
    </row>
    <row r="56" spans="1:10" ht="24.95" customHeight="1">
      <c r="A56" s="46"/>
      <c r="B56" s="376" t="s">
        <v>301</v>
      </c>
      <c r="C56" s="377"/>
      <c r="D56" s="377"/>
      <c r="E56" s="377"/>
      <c r="F56" s="377"/>
      <c r="G56" s="377"/>
      <c r="H56" s="377"/>
      <c r="I56" s="378"/>
      <c r="J56" s="130">
        <f>J52*1.21</f>
        <v>0</v>
      </c>
    </row>
    <row r="57" spans="1:11" ht="24.95" customHeight="1">
      <c r="A57" s="46"/>
      <c r="B57" s="52"/>
      <c r="C57" s="52"/>
      <c r="D57" s="48"/>
      <c r="E57" s="84"/>
      <c r="F57" s="84"/>
      <c r="G57" s="84"/>
      <c r="H57" s="84"/>
      <c r="I57" s="48"/>
      <c r="J57" s="125"/>
      <c r="K57" s="48"/>
    </row>
    <row r="58" spans="1:11" ht="24.95" customHeight="1">
      <c r="A58" s="46"/>
      <c r="B58" s="69"/>
      <c r="C58" s="53"/>
      <c r="D58" s="70"/>
      <c r="E58" s="95"/>
      <c r="F58" s="95"/>
      <c r="G58" s="95"/>
      <c r="H58" s="95"/>
      <c r="I58" s="70"/>
      <c r="J58" s="71"/>
      <c r="K58" s="72"/>
    </row>
    <row r="59" spans="1:10" ht="35.1" customHeight="1">
      <c r="A59" s="56"/>
      <c r="B59" s="60"/>
      <c r="C59" s="60"/>
      <c r="D59" s="2"/>
      <c r="E59" s="45"/>
      <c r="F59" s="45"/>
      <c r="G59" s="45"/>
      <c r="H59" s="45"/>
      <c r="I59" s="2"/>
      <c r="J59" s="2"/>
    </row>
    <row r="60" spans="1:11" s="45" customFormat="1" ht="26.25" customHeight="1">
      <c r="A60" s="44"/>
      <c r="B60" s="73"/>
      <c r="C60" s="73"/>
      <c r="D60" s="25"/>
      <c r="E60" s="25"/>
      <c r="F60" s="25"/>
      <c r="G60" s="25"/>
      <c r="H60" s="25"/>
      <c r="I60" s="25"/>
      <c r="J60" s="25"/>
      <c r="K60" s="25"/>
    </row>
    <row r="61" spans="1:10" s="18" customFormat="1" ht="35.1" customHeight="1">
      <c r="A61" s="17"/>
      <c r="B61" s="379" t="s">
        <v>0</v>
      </c>
      <c r="C61" s="379"/>
      <c r="D61" s="379"/>
      <c r="E61" s="379"/>
      <c r="F61" s="379"/>
      <c r="G61" s="379"/>
      <c r="H61" s="379"/>
      <c r="I61" s="379"/>
      <c r="J61" s="379"/>
    </row>
    <row r="62" spans="1:10" s="14" customFormat="1" ht="24.95" customHeight="1">
      <c r="A62" s="354"/>
      <c r="B62" s="355" t="s">
        <v>1</v>
      </c>
      <c r="C62" s="355" t="s">
        <v>2</v>
      </c>
      <c r="D62" s="357" t="s">
        <v>3</v>
      </c>
      <c r="E62" s="359" t="s">
        <v>97</v>
      </c>
      <c r="F62" s="359"/>
      <c r="G62" s="359"/>
      <c r="H62" s="359"/>
      <c r="I62" s="329" t="s">
        <v>4</v>
      </c>
      <c r="J62" s="330" t="s">
        <v>98</v>
      </c>
    </row>
    <row r="63" spans="1:10" ht="24.95" customHeight="1">
      <c r="A63" s="354"/>
      <c r="B63" s="355"/>
      <c r="C63" s="355"/>
      <c r="D63" s="357"/>
      <c r="E63" s="138" t="s">
        <v>200</v>
      </c>
      <c r="F63" s="138" t="s">
        <v>201</v>
      </c>
      <c r="G63" s="138" t="s">
        <v>324</v>
      </c>
      <c r="H63" s="110" t="s">
        <v>8</v>
      </c>
      <c r="I63" s="329"/>
      <c r="J63" s="330"/>
    </row>
    <row r="64" spans="1:10" ht="24.95" customHeight="1">
      <c r="A64" s="133"/>
      <c r="B64" s="362" t="s">
        <v>215</v>
      </c>
      <c r="C64" s="362"/>
      <c r="D64" s="362"/>
      <c r="E64" s="362"/>
      <c r="F64" s="362"/>
      <c r="G64" s="362"/>
      <c r="H64" s="362"/>
      <c r="I64" s="362"/>
      <c r="J64" s="362"/>
    </row>
    <row r="65" spans="1:24" s="30" customFormat="1" ht="24.95" customHeight="1">
      <c r="A65" s="133"/>
      <c r="B65" s="33" t="s">
        <v>272</v>
      </c>
      <c r="C65" s="33" t="s">
        <v>330</v>
      </c>
      <c r="D65" s="27" t="s">
        <v>202</v>
      </c>
      <c r="E65" s="109">
        <v>4</v>
      </c>
      <c r="F65" s="139">
        <v>0</v>
      </c>
      <c r="G65" s="139">
        <v>0</v>
      </c>
      <c r="H65" s="110">
        <f aca="true" t="shared" si="0" ref="H65:H71">SUM(E65:G65)</f>
        <v>4</v>
      </c>
      <c r="I65" s="140">
        <v>0</v>
      </c>
      <c r="J65" s="140">
        <f aca="true" t="shared" si="1" ref="J65:J71">H65*I65</f>
        <v>0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s="30" customFormat="1" ht="24.95" customHeight="1">
      <c r="A66" s="133"/>
      <c r="B66" s="33" t="s">
        <v>325</v>
      </c>
      <c r="C66" s="33" t="s">
        <v>330</v>
      </c>
      <c r="D66" s="27" t="s">
        <v>202</v>
      </c>
      <c r="E66" s="109">
        <v>0</v>
      </c>
      <c r="F66" s="139">
        <v>0</v>
      </c>
      <c r="G66" s="139">
        <v>45</v>
      </c>
      <c r="H66" s="110">
        <f t="shared" si="0"/>
        <v>45</v>
      </c>
      <c r="I66" s="140">
        <v>0</v>
      </c>
      <c r="J66" s="140">
        <f t="shared" si="1"/>
        <v>0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s="30" customFormat="1" ht="24.95" customHeight="1">
      <c r="A67" s="133"/>
      <c r="B67" s="31" t="s">
        <v>203</v>
      </c>
      <c r="C67" s="31" t="s">
        <v>204</v>
      </c>
      <c r="D67" s="28" t="s">
        <v>202</v>
      </c>
      <c r="E67" s="109">
        <v>1</v>
      </c>
      <c r="F67" s="139">
        <v>0</v>
      </c>
      <c r="G67" s="139">
        <v>0</v>
      </c>
      <c r="H67" s="110">
        <f t="shared" si="0"/>
        <v>1</v>
      </c>
      <c r="I67" s="140">
        <v>0</v>
      </c>
      <c r="J67" s="140">
        <f t="shared" si="1"/>
        <v>0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s="30" customFormat="1" ht="24.95" customHeight="1">
      <c r="A68" s="133"/>
      <c r="B68" s="31" t="s">
        <v>205</v>
      </c>
      <c r="C68" s="31" t="s">
        <v>206</v>
      </c>
      <c r="D68" s="28" t="s">
        <v>207</v>
      </c>
      <c r="E68" s="109">
        <v>1</v>
      </c>
      <c r="F68" s="139">
        <v>0</v>
      </c>
      <c r="G68" s="139">
        <v>0</v>
      </c>
      <c r="H68" s="110">
        <f t="shared" si="0"/>
        <v>1</v>
      </c>
      <c r="I68" s="140">
        <v>0</v>
      </c>
      <c r="J68" s="140">
        <f t="shared" si="1"/>
        <v>0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s="30" customFormat="1" ht="24.95" customHeight="1">
      <c r="A69" s="133"/>
      <c r="B69" s="31" t="s">
        <v>208</v>
      </c>
      <c r="C69" s="31" t="s">
        <v>209</v>
      </c>
      <c r="D69" s="28" t="s">
        <v>210</v>
      </c>
      <c r="E69" s="109">
        <v>1</v>
      </c>
      <c r="F69" s="139">
        <v>0</v>
      </c>
      <c r="G69" s="139">
        <v>0</v>
      </c>
      <c r="H69" s="110">
        <f t="shared" si="0"/>
        <v>1</v>
      </c>
      <c r="I69" s="140">
        <v>0</v>
      </c>
      <c r="J69" s="140">
        <f t="shared" si="1"/>
        <v>0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s="30" customFormat="1" ht="24.95" customHeight="1">
      <c r="A70" s="133"/>
      <c r="B70" s="31" t="s">
        <v>211</v>
      </c>
      <c r="C70" s="31" t="s">
        <v>212</v>
      </c>
      <c r="D70" s="28" t="s">
        <v>210</v>
      </c>
      <c r="E70" s="109">
        <v>1</v>
      </c>
      <c r="F70" s="139">
        <v>0</v>
      </c>
      <c r="G70" s="139">
        <v>0</v>
      </c>
      <c r="H70" s="110">
        <f t="shared" si="0"/>
        <v>1</v>
      </c>
      <c r="I70" s="140">
        <v>0</v>
      </c>
      <c r="J70" s="140">
        <f t="shared" si="1"/>
        <v>0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s="30" customFormat="1" ht="24.95" customHeight="1">
      <c r="A71" s="133"/>
      <c r="B71" s="31" t="s">
        <v>213</v>
      </c>
      <c r="C71" s="31" t="s">
        <v>214</v>
      </c>
      <c r="D71" s="28" t="s">
        <v>202</v>
      </c>
      <c r="E71" s="109">
        <v>3</v>
      </c>
      <c r="F71" s="139">
        <v>0</v>
      </c>
      <c r="G71" s="139">
        <v>0</v>
      </c>
      <c r="H71" s="110">
        <f t="shared" si="0"/>
        <v>3</v>
      </c>
      <c r="I71" s="140">
        <v>0</v>
      </c>
      <c r="J71" s="140">
        <f t="shared" si="1"/>
        <v>0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10" ht="24.95" customHeight="1">
      <c r="A72" s="133"/>
      <c r="B72" s="358" t="s">
        <v>216</v>
      </c>
      <c r="C72" s="358"/>
      <c r="D72" s="142"/>
      <c r="E72" s="143">
        <f>SUM(E65:E71)</f>
        <v>11</v>
      </c>
      <c r="F72" s="144"/>
      <c r="G72" s="143">
        <f>SUM(G65:G71)</f>
        <v>45</v>
      </c>
      <c r="H72" s="143">
        <f>SUM(H65:H71)</f>
        <v>56</v>
      </c>
      <c r="I72" s="145"/>
      <c r="J72" s="146">
        <f>SUM(J65:J71)</f>
        <v>0</v>
      </c>
    </row>
    <row r="73" spans="1:10" ht="24.95" customHeight="1">
      <c r="A73" s="133"/>
      <c r="B73" s="362" t="s">
        <v>217</v>
      </c>
      <c r="C73" s="362"/>
      <c r="D73" s="362"/>
      <c r="E73" s="362"/>
      <c r="F73" s="362"/>
      <c r="G73" s="362"/>
      <c r="H73" s="362"/>
      <c r="I73" s="362"/>
      <c r="J73" s="362"/>
    </row>
    <row r="74" spans="1:24" s="30" customFormat="1" ht="24.95" customHeight="1">
      <c r="A74" s="133"/>
      <c r="B74" s="34" t="s">
        <v>219</v>
      </c>
      <c r="C74" s="34" t="s">
        <v>220</v>
      </c>
      <c r="D74" s="26" t="s">
        <v>221</v>
      </c>
      <c r="E74" s="139">
        <v>0</v>
      </c>
      <c r="F74" s="37">
        <v>5</v>
      </c>
      <c r="G74" s="139">
        <v>0</v>
      </c>
      <c r="H74" s="110">
        <f>SUM(E74:G74)</f>
        <v>5</v>
      </c>
      <c r="I74" s="140">
        <v>0</v>
      </c>
      <c r="J74" s="140">
        <f aca="true" t="shared" si="2" ref="J74:J76">H74*I74</f>
        <v>0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s="30" customFormat="1" ht="24.95" customHeight="1">
      <c r="A75" s="133"/>
      <c r="B75" s="34" t="s">
        <v>222</v>
      </c>
      <c r="C75" s="34" t="s">
        <v>223</v>
      </c>
      <c r="D75" s="26" t="s">
        <v>210</v>
      </c>
      <c r="E75" s="139">
        <v>0</v>
      </c>
      <c r="F75" s="37">
        <v>7</v>
      </c>
      <c r="G75" s="37">
        <v>0</v>
      </c>
      <c r="H75" s="110">
        <f>SUM(E75:G75)</f>
        <v>7</v>
      </c>
      <c r="I75" s="140">
        <v>0</v>
      </c>
      <c r="J75" s="140">
        <f t="shared" si="2"/>
        <v>0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s="30" customFormat="1" ht="24.95" customHeight="1">
      <c r="A76" s="133"/>
      <c r="B76" s="34" t="s">
        <v>224</v>
      </c>
      <c r="C76" s="34" t="s">
        <v>225</v>
      </c>
      <c r="D76" s="26" t="s">
        <v>210</v>
      </c>
      <c r="E76" s="139">
        <v>0</v>
      </c>
      <c r="F76" s="37">
        <v>13</v>
      </c>
      <c r="G76" s="139">
        <v>0</v>
      </c>
      <c r="H76" s="110">
        <f>SUM(E76:G76)</f>
        <v>13</v>
      </c>
      <c r="I76" s="140">
        <v>0</v>
      </c>
      <c r="J76" s="140">
        <f t="shared" si="2"/>
        <v>0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10" ht="24.95" customHeight="1">
      <c r="A77" s="133"/>
      <c r="B77" s="358" t="s">
        <v>218</v>
      </c>
      <c r="C77" s="358"/>
      <c r="D77" s="142"/>
      <c r="E77" s="143"/>
      <c r="F77" s="143">
        <f>SUM(F74:F76)</f>
        <v>25</v>
      </c>
      <c r="G77" s="143"/>
      <c r="H77" s="143">
        <f>SUM(H74:H76)</f>
        <v>25</v>
      </c>
      <c r="I77" s="145"/>
      <c r="J77" s="146">
        <f>SUM(J74:J76)</f>
        <v>0</v>
      </c>
    </row>
    <row r="78" spans="1:10" ht="24.95" customHeight="1">
      <c r="A78" s="133"/>
      <c r="B78" s="360" t="s">
        <v>227</v>
      </c>
      <c r="C78" s="360"/>
      <c r="D78" s="360"/>
      <c r="E78" s="360"/>
      <c r="F78" s="360"/>
      <c r="G78" s="360"/>
      <c r="H78" s="360"/>
      <c r="I78" s="360"/>
      <c r="J78" s="360"/>
    </row>
    <row r="79" spans="1:10" ht="24.95" customHeight="1">
      <c r="A79" s="133"/>
      <c r="B79" s="150" t="s">
        <v>274</v>
      </c>
      <c r="C79" s="150" t="s">
        <v>252</v>
      </c>
      <c r="D79" s="38" t="s">
        <v>230</v>
      </c>
      <c r="E79" s="147">
        <v>0</v>
      </c>
      <c r="F79" s="147">
        <v>0</v>
      </c>
      <c r="G79" s="147">
        <v>648</v>
      </c>
      <c r="H79" s="148">
        <f aca="true" t="shared" si="3" ref="H79:H87">SUM(E79:G79)</f>
        <v>648</v>
      </c>
      <c r="I79" s="140">
        <v>0</v>
      </c>
      <c r="J79" s="149">
        <f aca="true" t="shared" si="4" ref="J79:J87">H79*I79</f>
        <v>0</v>
      </c>
    </row>
    <row r="80" spans="1:10" ht="24.95" customHeight="1">
      <c r="A80" s="133"/>
      <c r="B80" s="32" t="s">
        <v>232</v>
      </c>
      <c r="C80" s="32" t="s">
        <v>233</v>
      </c>
      <c r="D80" s="35" t="s">
        <v>230</v>
      </c>
      <c r="E80" s="109">
        <v>28</v>
      </c>
      <c r="F80" s="147">
        <v>0</v>
      </c>
      <c r="G80" s="147">
        <v>0</v>
      </c>
      <c r="H80" s="148">
        <f t="shared" si="3"/>
        <v>28</v>
      </c>
      <c r="I80" s="140">
        <v>0</v>
      </c>
      <c r="J80" s="149">
        <f t="shared" si="4"/>
        <v>0</v>
      </c>
    </row>
    <row r="81" spans="1:10" ht="24.95" customHeight="1">
      <c r="A81" s="133"/>
      <c r="B81" s="33" t="s">
        <v>310</v>
      </c>
      <c r="C81" s="33" t="s">
        <v>236</v>
      </c>
      <c r="D81" s="35" t="s">
        <v>230</v>
      </c>
      <c r="E81" s="109">
        <v>0</v>
      </c>
      <c r="F81" s="147">
        <v>0</v>
      </c>
      <c r="G81" s="147">
        <v>1088</v>
      </c>
      <c r="H81" s="148">
        <f t="shared" si="3"/>
        <v>1088</v>
      </c>
      <c r="I81" s="140">
        <v>0</v>
      </c>
      <c r="J81" s="149">
        <f t="shared" si="4"/>
        <v>0</v>
      </c>
    </row>
    <row r="82" spans="1:10" ht="24.95" customHeight="1">
      <c r="A82" s="133"/>
      <c r="B82" s="32" t="s">
        <v>237</v>
      </c>
      <c r="C82" s="32" t="s">
        <v>236</v>
      </c>
      <c r="D82" s="35" t="s">
        <v>230</v>
      </c>
      <c r="E82" s="109">
        <v>34</v>
      </c>
      <c r="F82" s="147">
        <v>0</v>
      </c>
      <c r="G82" s="147">
        <v>0</v>
      </c>
      <c r="H82" s="148">
        <f t="shared" si="3"/>
        <v>34</v>
      </c>
      <c r="I82" s="140">
        <v>0</v>
      </c>
      <c r="J82" s="149">
        <f t="shared" si="4"/>
        <v>0</v>
      </c>
    </row>
    <row r="83" spans="1:10" ht="24.95" customHeight="1">
      <c r="A83" s="133"/>
      <c r="B83" s="33" t="s">
        <v>239</v>
      </c>
      <c r="C83" s="33" t="s">
        <v>238</v>
      </c>
      <c r="D83" s="36" t="s">
        <v>231</v>
      </c>
      <c r="E83" s="109">
        <v>109</v>
      </c>
      <c r="F83" s="147">
        <v>0</v>
      </c>
      <c r="G83" s="147">
        <v>0</v>
      </c>
      <c r="H83" s="148">
        <f t="shared" si="3"/>
        <v>109</v>
      </c>
      <c r="I83" s="140">
        <v>0</v>
      </c>
      <c r="J83" s="149">
        <f t="shared" si="4"/>
        <v>0</v>
      </c>
    </row>
    <row r="84" spans="1:10" ht="24.95" customHeight="1">
      <c r="A84" s="133"/>
      <c r="B84" s="33" t="s">
        <v>240</v>
      </c>
      <c r="C84" s="33" t="s">
        <v>241</v>
      </c>
      <c r="D84" s="36" t="s">
        <v>230</v>
      </c>
      <c r="E84" s="109">
        <v>14</v>
      </c>
      <c r="F84" s="147">
        <v>0</v>
      </c>
      <c r="G84" s="147">
        <v>0</v>
      </c>
      <c r="H84" s="148">
        <f t="shared" si="3"/>
        <v>14</v>
      </c>
      <c r="I84" s="140">
        <v>0</v>
      </c>
      <c r="J84" s="149">
        <f t="shared" si="4"/>
        <v>0</v>
      </c>
    </row>
    <row r="85" spans="1:10" ht="24.95" customHeight="1">
      <c r="A85" s="133"/>
      <c r="B85" s="32" t="s">
        <v>329</v>
      </c>
      <c r="C85" s="32" t="s">
        <v>242</v>
      </c>
      <c r="D85" s="35" t="s">
        <v>230</v>
      </c>
      <c r="E85" s="109">
        <v>0</v>
      </c>
      <c r="F85" s="147">
        <v>0</v>
      </c>
      <c r="G85" s="147">
        <v>864</v>
      </c>
      <c r="H85" s="148">
        <f t="shared" si="3"/>
        <v>864</v>
      </c>
      <c r="I85" s="140">
        <v>0</v>
      </c>
      <c r="J85" s="149">
        <f t="shared" si="4"/>
        <v>0</v>
      </c>
    </row>
    <row r="86" spans="1:10" ht="24.95" customHeight="1">
      <c r="A86" s="133"/>
      <c r="B86" s="32" t="s">
        <v>328</v>
      </c>
      <c r="C86" s="32" t="s">
        <v>243</v>
      </c>
      <c r="D86" s="35" t="s">
        <v>230</v>
      </c>
      <c r="E86" s="147">
        <v>0</v>
      </c>
      <c r="F86" s="147">
        <v>0</v>
      </c>
      <c r="G86" s="147">
        <v>699</v>
      </c>
      <c r="H86" s="148">
        <f t="shared" si="3"/>
        <v>699</v>
      </c>
      <c r="I86" s="140">
        <v>0</v>
      </c>
      <c r="J86" s="149">
        <f t="shared" si="4"/>
        <v>0</v>
      </c>
    </row>
    <row r="87" spans="1:10" ht="24.95" customHeight="1">
      <c r="A87" s="133"/>
      <c r="B87" s="32" t="s">
        <v>244</v>
      </c>
      <c r="C87" s="32" t="s">
        <v>243</v>
      </c>
      <c r="D87" s="35" t="s">
        <v>230</v>
      </c>
      <c r="E87" s="109">
        <v>43</v>
      </c>
      <c r="F87" s="147">
        <v>0</v>
      </c>
      <c r="G87" s="147">
        <v>0</v>
      </c>
      <c r="H87" s="148">
        <f t="shared" si="3"/>
        <v>43</v>
      </c>
      <c r="I87" s="140">
        <v>0</v>
      </c>
      <c r="J87" s="149">
        <f t="shared" si="4"/>
        <v>0</v>
      </c>
    </row>
    <row r="88" spans="1:10" ht="24.95" customHeight="1">
      <c r="A88" s="133"/>
      <c r="B88" s="358" t="s">
        <v>228</v>
      </c>
      <c r="C88" s="358"/>
      <c r="D88" s="151"/>
      <c r="E88" s="152">
        <f>SUM(E79:E87)</f>
        <v>228</v>
      </c>
      <c r="F88" s="152"/>
      <c r="G88" s="152">
        <f>SUM(G79:G87)</f>
        <v>3299</v>
      </c>
      <c r="H88" s="152">
        <f>SUM(H79:H87)</f>
        <v>3527</v>
      </c>
      <c r="I88" s="151"/>
      <c r="J88" s="146">
        <f>SUM(J79:J87)</f>
        <v>0</v>
      </c>
    </row>
    <row r="89" spans="1:10" ht="24.95" customHeight="1">
      <c r="A89" s="354"/>
      <c r="B89" s="355" t="s">
        <v>1</v>
      </c>
      <c r="C89" s="355" t="s">
        <v>2</v>
      </c>
      <c r="D89" s="357" t="s">
        <v>3</v>
      </c>
      <c r="E89" s="359" t="s">
        <v>97</v>
      </c>
      <c r="F89" s="359"/>
      <c r="G89" s="359"/>
      <c r="H89" s="359"/>
      <c r="I89" s="329" t="s">
        <v>4</v>
      </c>
      <c r="J89" s="330" t="s">
        <v>98</v>
      </c>
    </row>
    <row r="90" spans="1:10" ht="24.95" customHeight="1">
      <c r="A90" s="354"/>
      <c r="B90" s="355"/>
      <c r="C90" s="355"/>
      <c r="D90" s="357"/>
      <c r="E90" s="138" t="s">
        <v>200</v>
      </c>
      <c r="F90" s="138" t="s">
        <v>201</v>
      </c>
      <c r="G90" s="138" t="s">
        <v>324</v>
      </c>
      <c r="H90" s="110" t="s">
        <v>8</v>
      </c>
      <c r="I90" s="329"/>
      <c r="J90" s="330"/>
    </row>
    <row r="91" spans="1:10" ht="24.95" customHeight="1">
      <c r="A91" s="133"/>
      <c r="B91" s="360" t="s">
        <v>247</v>
      </c>
      <c r="C91" s="360"/>
      <c r="D91" s="360"/>
      <c r="E91" s="360"/>
      <c r="F91" s="360"/>
      <c r="G91" s="360"/>
      <c r="H91" s="360"/>
      <c r="I91" s="360"/>
      <c r="J91" s="360"/>
    </row>
    <row r="92" spans="1:10" ht="24.95" customHeight="1">
      <c r="A92" s="133"/>
      <c r="B92" s="32" t="s">
        <v>249</v>
      </c>
      <c r="C92" s="32" t="s">
        <v>229</v>
      </c>
      <c r="D92" s="35" t="s">
        <v>230</v>
      </c>
      <c r="E92" s="109">
        <v>30</v>
      </c>
      <c r="F92" s="109">
        <v>0</v>
      </c>
      <c r="G92" s="109">
        <v>0</v>
      </c>
      <c r="H92" s="148">
        <f aca="true" t="shared" si="5" ref="H92:H97">SUM(E92:G92)</f>
        <v>30</v>
      </c>
      <c r="I92" s="140">
        <v>0</v>
      </c>
      <c r="J92" s="149">
        <f aca="true" t="shared" si="6" ref="J92:J97">H92*I92</f>
        <v>0</v>
      </c>
    </row>
    <row r="93" spans="1:10" ht="24.95" customHeight="1">
      <c r="A93" s="133"/>
      <c r="B93" s="32" t="s">
        <v>232</v>
      </c>
      <c r="C93" s="32" t="s">
        <v>233</v>
      </c>
      <c r="D93" s="35" t="s">
        <v>230</v>
      </c>
      <c r="E93" s="109">
        <v>46</v>
      </c>
      <c r="F93" s="109">
        <v>0</v>
      </c>
      <c r="G93" s="109">
        <v>0</v>
      </c>
      <c r="H93" s="148">
        <f t="shared" si="5"/>
        <v>46</v>
      </c>
      <c r="I93" s="140">
        <v>0</v>
      </c>
      <c r="J93" s="149">
        <f t="shared" si="6"/>
        <v>0</v>
      </c>
    </row>
    <row r="94" spans="1:10" ht="24.95" customHeight="1">
      <c r="A94" s="133"/>
      <c r="B94" s="32" t="s">
        <v>234</v>
      </c>
      <c r="C94" s="32" t="s">
        <v>235</v>
      </c>
      <c r="D94" s="35" t="s">
        <v>230</v>
      </c>
      <c r="E94" s="109">
        <v>46</v>
      </c>
      <c r="F94" s="109">
        <v>0</v>
      </c>
      <c r="G94" s="109">
        <v>0</v>
      </c>
      <c r="H94" s="148">
        <f t="shared" si="5"/>
        <v>46</v>
      </c>
      <c r="I94" s="140">
        <v>0</v>
      </c>
      <c r="J94" s="149">
        <f t="shared" si="6"/>
        <v>0</v>
      </c>
    </row>
    <row r="95" spans="1:10" ht="24.95" customHeight="1">
      <c r="A95" s="133"/>
      <c r="B95" s="33" t="s">
        <v>239</v>
      </c>
      <c r="C95" s="33" t="s">
        <v>238</v>
      </c>
      <c r="D95" s="36" t="s">
        <v>231</v>
      </c>
      <c r="E95" s="109">
        <v>49</v>
      </c>
      <c r="F95" s="109">
        <v>0</v>
      </c>
      <c r="G95" s="109">
        <v>0</v>
      </c>
      <c r="H95" s="148">
        <f t="shared" si="5"/>
        <v>49</v>
      </c>
      <c r="I95" s="140">
        <v>0</v>
      </c>
      <c r="J95" s="149">
        <f t="shared" si="6"/>
        <v>0</v>
      </c>
    </row>
    <row r="96" spans="1:10" ht="24.95" customHeight="1">
      <c r="A96" s="133"/>
      <c r="B96" s="32" t="s">
        <v>244</v>
      </c>
      <c r="C96" s="32" t="s">
        <v>243</v>
      </c>
      <c r="D96" s="35" t="s">
        <v>230</v>
      </c>
      <c r="E96" s="109">
        <v>106</v>
      </c>
      <c r="F96" s="109">
        <v>0</v>
      </c>
      <c r="G96" s="109">
        <v>0</v>
      </c>
      <c r="H96" s="148">
        <f t="shared" si="5"/>
        <v>106</v>
      </c>
      <c r="I96" s="140">
        <v>0</v>
      </c>
      <c r="J96" s="149">
        <f t="shared" si="6"/>
        <v>0</v>
      </c>
    </row>
    <row r="97" spans="1:10" ht="24.95" customHeight="1">
      <c r="A97" s="133"/>
      <c r="B97" s="32" t="s">
        <v>273</v>
      </c>
      <c r="C97" s="32" t="s">
        <v>245</v>
      </c>
      <c r="D97" s="35" t="s">
        <v>230</v>
      </c>
      <c r="E97" s="109">
        <v>48</v>
      </c>
      <c r="F97" s="109">
        <v>0</v>
      </c>
      <c r="G97" s="109">
        <v>0</v>
      </c>
      <c r="H97" s="148">
        <f t="shared" si="5"/>
        <v>48</v>
      </c>
      <c r="I97" s="140">
        <v>0</v>
      </c>
      <c r="J97" s="149">
        <f t="shared" si="6"/>
        <v>0</v>
      </c>
    </row>
    <row r="98" spans="1:10" ht="24.95" customHeight="1">
      <c r="A98" s="133"/>
      <c r="B98" s="358" t="s">
        <v>248</v>
      </c>
      <c r="C98" s="358"/>
      <c r="D98" s="151"/>
      <c r="E98" s="152">
        <f>SUM(E92:E97)</f>
        <v>325</v>
      </c>
      <c r="F98" s="152"/>
      <c r="G98" s="152"/>
      <c r="H98" s="152">
        <f>SUM(H92:H97)</f>
        <v>325</v>
      </c>
      <c r="I98" s="151"/>
      <c r="J98" s="146">
        <f>SUM(J92:J97)</f>
        <v>0</v>
      </c>
    </row>
    <row r="99" spans="1:10" ht="24.95" customHeight="1">
      <c r="A99" s="133"/>
      <c r="B99" s="360" t="s">
        <v>250</v>
      </c>
      <c r="C99" s="360"/>
      <c r="D99" s="360"/>
      <c r="E99" s="360"/>
      <c r="F99" s="360"/>
      <c r="G99" s="360"/>
      <c r="H99" s="360"/>
      <c r="I99" s="360"/>
      <c r="J99" s="360"/>
    </row>
    <row r="100" spans="1:10" s="1" customFormat="1" ht="24.95" customHeight="1">
      <c r="A100" s="133"/>
      <c r="B100" s="32" t="s">
        <v>253</v>
      </c>
      <c r="C100" s="32" t="s">
        <v>254</v>
      </c>
      <c r="D100" s="26" t="s">
        <v>246</v>
      </c>
      <c r="E100" s="109">
        <v>18</v>
      </c>
      <c r="F100" s="109">
        <v>0</v>
      </c>
      <c r="G100" s="109">
        <v>0</v>
      </c>
      <c r="H100" s="148">
        <f>SUM(E100:G100)</f>
        <v>18</v>
      </c>
      <c r="I100" s="140">
        <v>0</v>
      </c>
      <c r="J100" s="149">
        <f aca="true" t="shared" si="7" ref="J100:J101">H100*I100</f>
        <v>0</v>
      </c>
    </row>
    <row r="101" spans="1:10" s="1" customFormat="1" ht="24.95" customHeight="1">
      <c r="A101" s="133"/>
      <c r="B101" s="33" t="s">
        <v>255</v>
      </c>
      <c r="C101" s="33" t="s">
        <v>256</v>
      </c>
      <c r="D101" s="37" t="s">
        <v>226</v>
      </c>
      <c r="E101" s="109">
        <v>1</v>
      </c>
      <c r="F101" s="109">
        <v>0</v>
      </c>
      <c r="G101" s="109">
        <v>0</v>
      </c>
      <c r="H101" s="148">
        <f>SUM(E101:G101)</f>
        <v>1</v>
      </c>
      <c r="I101" s="140">
        <v>0</v>
      </c>
      <c r="J101" s="149">
        <f t="shared" si="7"/>
        <v>0</v>
      </c>
    </row>
    <row r="102" spans="1:10" ht="24.95" customHeight="1">
      <c r="A102" s="133"/>
      <c r="B102" s="358" t="s">
        <v>251</v>
      </c>
      <c r="C102" s="358"/>
      <c r="D102" s="151"/>
      <c r="E102" s="152">
        <f>SUM(E100:E101)</f>
        <v>19</v>
      </c>
      <c r="F102" s="152"/>
      <c r="G102" s="152"/>
      <c r="H102" s="152">
        <f>SUM(H100:H101)</f>
        <v>19</v>
      </c>
      <c r="I102" s="151"/>
      <c r="J102" s="146">
        <f>SUM(J100:J101)</f>
        <v>0</v>
      </c>
    </row>
    <row r="103" spans="1:10" ht="24.95" customHeight="1">
      <c r="A103" s="133"/>
      <c r="B103" s="360" t="s">
        <v>257</v>
      </c>
      <c r="C103" s="360"/>
      <c r="D103" s="360"/>
      <c r="E103" s="360"/>
      <c r="F103" s="360"/>
      <c r="G103" s="360"/>
      <c r="H103" s="360"/>
      <c r="I103" s="360"/>
      <c r="J103" s="360"/>
    </row>
    <row r="104" spans="1:10" s="108" customFormat="1" ht="24.95" customHeight="1">
      <c r="A104" s="134"/>
      <c r="B104" s="112" t="s">
        <v>259</v>
      </c>
      <c r="C104" s="112" t="s">
        <v>252</v>
      </c>
      <c r="D104" s="111" t="s">
        <v>230</v>
      </c>
      <c r="E104" s="109">
        <v>39</v>
      </c>
      <c r="F104" s="109">
        <v>0</v>
      </c>
      <c r="G104" s="109">
        <v>0</v>
      </c>
      <c r="H104" s="148">
        <f>SUM(E104:G104)</f>
        <v>39</v>
      </c>
      <c r="I104" s="153">
        <v>0</v>
      </c>
      <c r="J104" s="154">
        <f>H104*I104</f>
        <v>0</v>
      </c>
    </row>
    <row r="105" spans="1:10" s="108" customFormat="1" ht="24.95" customHeight="1">
      <c r="A105" s="134"/>
      <c r="B105" s="381" t="s">
        <v>258</v>
      </c>
      <c r="C105" s="381"/>
      <c r="D105" s="155"/>
      <c r="E105" s="152">
        <f>SUM(E104:E104)</f>
        <v>39</v>
      </c>
      <c r="F105" s="152"/>
      <c r="G105" s="152"/>
      <c r="H105" s="152">
        <f>SUM(H104:H104)</f>
        <v>39</v>
      </c>
      <c r="I105" s="155"/>
      <c r="J105" s="156">
        <f>SUM(J104:J104)</f>
        <v>0</v>
      </c>
    </row>
    <row r="106" spans="1:10" ht="24.95" customHeight="1">
      <c r="A106" s="133"/>
      <c r="B106" s="361" t="s">
        <v>195</v>
      </c>
      <c r="C106" s="361"/>
      <c r="D106" s="151" t="s">
        <v>196</v>
      </c>
      <c r="E106" s="157"/>
      <c r="F106" s="157"/>
      <c r="G106" s="157"/>
      <c r="H106" s="157"/>
      <c r="I106" s="151"/>
      <c r="J106" s="146">
        <f>(J105+J102+J98+J88+J77+J72)*0.1</f>
        <v>0</v>
      </c>
    </row>
    <row r="107" spans="1:10" s="18" customFormat="1" ht="35.1" customHeight="1">
      <c r="A107" s="19"/>
      <c r="B107" s="356" t="s">
        <v>5</v>
      </c>
      <c r="C107" s="356" t="s">
        <v>6</v>
      </c>
      <c r="D107" s="356"/>
      <c r="E107" s="356"/>
      <c r="F107" s="356"/>
      <c r="G107" s="356"/>
      <c r="H107" s="356"/>
      <c r="I107" s="356"/>
      <c r="J107" s="40">
        <f>SUM(J106,J105,J102,J98,J88,J77,J72)</f>
        <v>0</v>
      </c>
    </row>
    <row r="108" spans="1:10" s="100" customFormat="1" ht="35.1" customHeight="1">
      <c r="A108" s="99"/>
      <c r="B108" s="380" t="s">
        <v>295</v>
      </c>
      <c r="C108" s="380"/>
      <c r="D108" s="380"/>
      <c r="E108" s="380"/>
      <c r="F108" s="380"/>
      <c r="G108" s="380"/>
      <c r="H108" s="380"/>
      <c r="I108" s="380"/>
      <c r="J108" s="380"/>
    </row>
    <row r="109" spans="1:10" s="15" customFormat="1" ht="24.95" customHeight="1">
      <c r="A109" s="326"/>
      <c r="B109" s="327" t="s">
        <v>7</v>
      </c>
      <c r="C109" s="327"/>
      <c r="D109" s="327" t="s">
        <v>156</v>
      </c>
      <c r="E109" s="328" t="s">
        <v>97</v>
      </c>
      <c r="F109" s="328"/>
      <c r="G109" s="328"/>
      <c r="H109" s="328"/>
      <c r="I109" s="329" t="s">
        <v>4</v>
      </c>
      <c r="J109" s="330" t="s">
        <v>98</v>
      </c>
    </row>
    <row r="110" spans="1:10" s="6" customFormat="1" ht="24.95" customHeight="1">
      <c r="A110" s="326"/>
      <c r="B110" s="327"/>
      <c r="C110" s="327"/>
      <c r="D110" s="327"/>
      <c r="E110" s="158" t="s">
        <v>200</v>
      </c>
      <c r="F110" s="158" t="s">
        <v>201</v>
      </c>
      <c r="G110" s="138" t="s">
        <v>324</v>
      </c>
      <c r="H110" s="110" t="s">
        <v>8</v>
      </c>
      <c r="I110" s="329"/>
      <c r="J110" s="330"/>
    </row>
    <row r="111" spans="1:10" s="101" customFormat="1" ht="24.95" customHeight="1">
      <c r="A111" s="159"/>
      <c r="B111" s="375" t="s">
        <v>99</v>
      </c>
      <c r="C111" s="375"/>
      <c r="D111" s="375"/>
      <c r="E111" s="375"/>
      <c r="F111" s="375"/>
      <c r="G111" s="375"/>
      <c r="H111" s="375"/>
      <c r="I111" s="375"/>
      <c r="J111" s="375"/>
    </row>
    <row r="112" spans="1:10" s="6" customFormat="1" ht="24.95" customHeight="1">
      <c r="A112" s="135"/>
      <c r="B112" s="307" t="s">
        <v>159</v>
      </c>
      <c r="C112" s="307"/>
      <c r="D112" s="307"/>
      <c r="E112" s="307"/>
      <c r="F112" s="307"/>
      <c r="G112" s="307"/>
      <c r="H112" s="307"/>
      <c r="I112" s="307"/>
      <c r="J112" s="307"/>
    </row>
    <row r="113" spans="1:10" s="6" customFormat="1" ht="24.95" customHeight="1">
      <c r="A113" s="135" t="s">
        <v>38</v>
      </c>
      <c r="B113" s="308" t="s">
        <v>148</v>
      </c>
      <c r="C113" s="308"/>
      <c r="D113" s="135" t="s">
        <v>9</v>
      </c>
      <c r="E113" s="109">
        <v>4</v>
      </c>
      <c r="F113" s="109">
        <v>2</v>
      </c>
      <c r="G113" s="109">
        <v>0</v>
      </c>
      <c r="H113" s="148">
        <f>SUM(E113:G113)</f>
        <v>6</v>
      </c>
      <c r="I113" s="160">
        <v>0</v>
      </c>
      <c r="J113" s="126">
        <f>H113*I113</f>
        <v>0</v>
      </c>
    </row>
    <row r="114" spans="1:10" s="6" customFormat="1" ht="24.95" customHeight="1">
      <c r="A114" s="161" t="s">
        <v>28</v>
      </c>
      <c r="B114" s="333" t="s">
        <v>151</v>
      </c>
      <c r="C114" s="333"/>
      <c r="D114" s="161" t="s">
        <v>15</v>
      </c>
      <c r="E114" s="139">
        <f aca="true" t="shared" si="8" ref="E114:F114">E113*0.014</f>
        <v>0.056</v>
      </c>
      <c r="F114" s="139">
        <f t="shared" si="8"/>
        <v>0.028</v>
      </c>
      <c r="G114" s="139">
        <f aca="true" t="shared" si="9" ref="G114">G113*0.014</f>
        <v>0</v>
      </c>
      <c r="H114" s="148">
        <f>SUM(E114:G114)</f>
        <v>0.084</v>
      </c>
      <c r="I114" s="162">
        <v>0</v>
      </c>
      <c r="J114" s="126">
        <f>H114*I114</f>
        <v>0</v>
      </c>
    </row>
    <row r="115" spans="1:10" s="6" customFormat="1" ht="24.95" customHeight="1">
      <c r="A115" s="135"/>
      <c r="B115" s="358" t="s">
        <v>168</v>
      </c>
      <c r="C115" s="358"/>
      <c r="D115" s="163"/>
      <c r="E115" s="164"/>
      <c r="F115" s="164"/>
      <c r="G115" s="164"/>
      <c r="H115" s="164"/>
      <c r="I115" s="165"/>
      <c r="J115" s="146">
        <f>SUM(J113:J114)</f>
        <v>0</v>
      </c>
    </row>
    <row r="116" spans="1:10" s="6" customFormat="1" ht="24.95" customHeight="1">
      <c r="A116" s="135"/>
      <c r="B116" s="307" t="s">
        <v>160</v>
      </c>
      <c r="C116" s="307"/>
      <c r="D116" s="307"/>
      <c r="E116" s="307"/>
      <c r="F116" s="307"/>
      <c r="G116" s="307"/>
      <c r="H116" s="307"/>
      <c r="I116" s="307"/>
      <c r="J116" s="307"/>
    </row>
    <row r="117" spans="1:10" s="6" customFormat="1" ht="24.95" customHeight="1">
      <c r="A117" s="135" t="s">
        <v>39</v>
      </c>
      <c r="B117" s="308" t="s">
        <v>149</v>
      </c>
      <c r="C117" s="308"/>
      <c r="D117" s="135" t="s">
        <v>9</v>
      </c>
      <c r="E117" s="109">
        <v>1</v>
      </c>
      <c r="F117" s="109">
        <v>0</v>
      </c>
      <c r="G117" s="109">
        <v>0</v>
      </c>
      <c r="H117" s="148">
        <f>SUM(E117:G117)</f>
        <v>1</v>
      </c>
      <c r="I117" s="160">
        <v>0</v>
      </c>
      <c r="J117" s="126">
        <f>H117*I117</f>
        <v>0</v>
      </c>
    </row>
    <row r="118" spans="1:10" s="6" customFormat="1" ht="24.95" customHeight="1">
      <c r="A118" s="161" t="s">
        <v>28</v>
      </c>
      <c r="B118" s="333" t="s">
        <v>151</v>
      </c>
      <c r="C118" s="333"/>
      <c r="D118" s="161" t="s">
        <v>15</v>
      </c>
      <c r="E118" s="139">
        <f aca="true" t="shared" si="10" ref="E118:F118">E117*0.025</f>
        <v>0.025</v>
      </c>
      <c r="F118" s="139">
        <f t="shared" si="10"/>
        <v>0</v>
      </c>
      <c r="G118" s="139">
        <f aca="true" t="shared" si="11" ref="G118">G117*0.014</f>
        <v>0</v>
      </c>
      <c r="H118" s="148">
        <f>SUM(E118:G118)</f>
        <v>0.025</v>
      </c>
      <c r="I118" s="162">
        <v>0</v>
      </c>
      <c r="J118" s="126">
        <f>H118*I118</f>
        <v>0</v>
      </c>
    </row>
    <row r="119" spans="1:10" s="6" customFormat="1" ht="24.95" customHeight="1">
      <c r="A119" s="135"/>
      <c r="B119" s="358" t="s">
        <v>169</v>
      </c>
      <c r="C119" s="358"/>
      <c r="D119" s="163"/>
      <c r="E119" s="164"/>
      <c r="F119" s="164"/>
      <c r="G119" s="164"/>
      <c r="H119" s="164"/>
      <c r="I119" s="166"/>
      <c r="J119" s="146">
        <f>SUM(J117:J118)</f>
        <v>0</v>
      </c>
    </row>
    <row r="120" spans="1:10" s="6" customFormat="1" ht="24.95" customHeight="1">
      <c r="A120" s="135"/>
      <c r="B120" s="307" t="s">
        <v>308</v>
      </c>
      <c r="C120" s="307"/>
      <c r="D120" s="307"/>
      <c r="E120" s="307"/>
      <c r="F120" s="307"/>
      <c r="G120" s="307"/>
      <c r="H120" s="307"/>
      <c r="I120" s="307"/>
      <c r="J120" s="307"/>
    </row>
    <row r="121" spans="1:10" s="6" customFormat="1" ht="24.95" customHeight="1">
      <c r="A121" s="135" t="s">
        <v>51</v>
      </c>
      <c r="B121" s="308" t="s">
        <v>150</v>
      </c>
      <c r="C121" s="308"/>
      <c r="D121" s="135" t="s">
        <v>9</v>
      </c>
      <c r="E121" s="109">
        <v>1</v>
      </c>
      <c r="F121" s="109">
        <v>0</v>
      </c>
      <c r="G121" s="109">
        <v>0</v>
      </c>
      <c r="H121" s="148">
        <f>SUM(E121:G121)</f>
        <v>1</v>
      </c>
      <c r="I121" s="160">
        <v>0</v>
      </c>
      <c r="J121" s="126">
        <f>H121*I121</f>
        <v>0</v>
      </c>
    </row>
    <row r="122" spans="1:10" s="6" customFormat="1" ht="24.95" customHeight="1">
      <c r="A122" s="161" t="s">
        <v>28</v>
      </c>
      <c r="B122" s="333" t="s">
        <v>151</v>
      </c>
      <c r="C122" s="333"/>
      <c r="D122" s="161" t="s">
        <v>15</v>
      </c>
      <c r="E122" s="139">
        <f aca="true" t="shared" si="12" ref="E122:F122">E121*0.04</f>
        <v>0.04</v>
      </c>
      <c r="F122" s="139">
        <f t="shared" si="12"/>
        <v>0</v>
      </c>
      <c r="G122" s="139">
        <f aca="true" t="shared" si="13" ref="G122">G121*0.014</f>
        <v>0</v>
      </c>
      <c r="H122" s="148">
        <f>SUM(E122:G122)</f>
        <v>0.04</v>
      </c>
      <c r="I122" s="162">
        <v>0</v>
      </c>
      <c r="J122" s="126">
        <f>H122*I122</f>
        <v>0</v>
      </c>
    </row>
    <row r="123" spans="1:10" s="6" customFormat="1" ht="24.95" customHeight="1">
      <c r="A123" s="135"/>
      <c r="B123" s="358" t="s">
        <v>309</v>
      </c>
      <c r="C123" s="358"/>
      <c r="D123" s="163"/>
      <c r="E123" s="164"/>
      <c r="F123" s="164"/>
      <c r="G123" s="164"/>
      <c r="H123" s="164"/>
      <c r="I123" s="166"/>
      <c r="J123" s="146">
        <f>SUM(J121:J122)</f>
        <v>0</v>
      </c>
    </row>
    <row r="124" spans="1:10" s="101" customFormat="1" ht="24.95" customHeight="1">
      <c r="A124" s="159"/>
      <c r="B124" s="375" t="s">
        <v>100</v>
      </c>
      <c r="C124" s="375"/>
      <c r="D124" s="375"/>
      <c r="E124" s="375"/>
      <c r="F124" s="375"/>
      <c r="G124" s="375"/>
      <c r="H124" s="375"/>
      <c r="I124" s="375"/>
      <c r="J124" s="375"/>
    </row>
    <row r="125" spans="1:10" s="6" customFormat="1" ht="24.95" customHeight="1">
      <c r="A125" s="135"/>
      <c r="B125" s="307" t="s">
        <v>158</v>
      </c>
      <c r="C125" s="307"/>
      <c r="D125" s="307"/>
      <c r="E125" s="307"/>
      <c r="F125" s="307"/>
      <c r="G125" s="307"/>
      <c r="H125" s="307"/>
      <c r="I125" s="307"/>
      <c r="J125" s="307"/>
    </row>
    <row r="126" spans="1:10" s="6" customFormat="1" ht="24.95" customHeight="1">
      <c r="A126" s="135" t="s">
        <v>37</v>
      </c>
      <c r="B126" s="308" t="s">
        <v>10</v>
      </c>
      <c r="C126" s="308"/>
      <c r="D126" s="135" t="s">
        <v>9</v>
      </c>
      <c r="E126" s="109">
        <v>3</v>
      </c>
      <c r="F126" s="139">
        <v>0</v>
      </c>
      <c r="G126" s="109">
        <v>0</v>
      </c>
      <c r="H126" s="148">
        <f>SUM(E126:G126)</f>
        <v>3</v>
      </c>
      <c r="I126" s="160">
        <v>0</v>
      </c>
      <c r="J126" s="126">
        <f aca="true" t="shared" si="14" ref="J126:J127">H126*I126</f>
        <v>0</v>
      </c>
    </row>
    <row r="127" spans="1:10" s="6" customFormat="1" ht="24.95" customHeight="1">
      <c r="A127" s="161" t="s">
        <v>28</v>
      </c>
      <c r="B127" s="333" t="s">
        <v>151</v>
      </c>
      <c r="C127" s="333"/>
      <c r="D127" s="161" t="s">
        <v>15</v>
      </c>
      <c r="E127" s="139">
        <f aca="true" t="shared" si="15" ref="E127">E126*0.009</f>
        <v>0.026999999999999996</v>
      </c>
      <c r="F127" s="139">
        <f aca="true" t="shared" si="16" ref="F127">F126*0.23</f>
        <v>0</v>
      </c>
      <c r="G127" s="139">
        <f aca="true" t="shared" si="17" ref="G127">G126*0.014</f>
        <v>0</v>
      </c>
      <c r="H127" s="148">
        <f>SUM(E127:G127)</f>
        <v>0.026999999999999996</v>
      </c>
      <c r="I127" s="162">
        <v>0</v>
      </c>
      <c r="J127" s="126">
        <f t="shared" si="14"/>
        <v>0</v>
      </c>
    </row>
    <row r="128" spans="1:10" s="6" customFormat="1" ht="24.95" customHeight="1">
      <c r="A128" s="135"/>
      <c r="B128" s="358" t="s">
        <v>167</v>
      </c>
      <c r="C128" s="358"/>
      <c r="D128" s="163"/>
      <c r="E128" s="164"/>
      <c r="F128" s="164"/>
      <c r="G128" s="164"/>
      <c r="H128" s="164"/>
      <c r="I128" s="165"/>
      <c r="J128" s="146">
        <f>SUM(J126:J127)</f>
        <v>0</v>
      </c>
    </row>
    <row r="129" spans="1:10" s="6" customFormat="1" ht="24.95" customHeight="1">
      <c r="A129" s="135"/>
      <c r="B129" s="307" t="s">
        <v>159</v>
      </c>
      <c r="C129" s="307"/>
      <c r="D129" s="307"/>
      <c r="E129" s="307"/>
      <c r="F129" s="307"/>
      <c r="G129" s="307"/>
      <c r="H129" s="307"/>
      <c r="I129" s="307"/>
      <c r="J129" s="307"/>
    </row>
    <row r="130" spans="1:10" s="6" customFormat="1" ht="24.95" customHeight="1">
      <c r="A130" s="135" t="s">
        <v>38</v>
      </c>
      <c r="B130" s="307" t="s">
        <v>11</v>
      </c>
      <c r="C130" s="307"/>
      <c r="D130" s="135" t="s">
        <v>9</v>
      </c>
      <c r="E130" s="109">
        <v>1</v>
      </c>
      <c r="F130" s="139">
        <v>0</v>
      </c>
      <c r="G130" s="109">
        <v>0</v>
      </c>
      <c r="H130" s="148">
        <f>SUM(E130:G130)</f>
        <v>1</v>
      </c>
      <c r="I130" s="160">
        <v>0</v>
      </c>
      <c r="J130" s="126">
        <f aca="true" t="shared" si="18" ref="J130:J131">H130*I130</f>
        <v>0</v>
      </c>
    </row>
    <row r="131" spans="1:10" s="6" customFormat="1" ht="24.95" customHeight="1">
      <c r="A131" s="161" t="s">
        <v>28</v>
      </c>
      <c r="B131" s="333" t="s">
        <v>151</v>
      </c>
      <c r="C131" s="333"/>
      <c r="D131" s="161" t="s">
        <v>15</v>
      </c>
      <c r="E131" s="139">
        <f aca="true" t="shared" si="19" ref="E131:G131">E130*0.014</f>
        <v>0.014</v>
      </c>
      <c r="F131" s="139">
        <f aca="true" t="shared" si="20" ref="F131">F130*0.23</f>
        <v>0</v>
      </c>
      <c r="G131" s="139">
        <f t="shared" si="19"/>
        <v>0</v>
      </c>
      <c r="H131" s="148">
        <f>SUM(E131:G131)</f>
        <v>0.014</v>
      </c>
      <c r="I131" s="162">
        <v>0</v>
      </c>
      <c r="J131" s="126">
        <f t="shared" si="18"/>
        <v>0</v>
      </c>
    </row>
    <row r="132" spans="1:10" s="6" customFormat="1" ht="24.95" customHeight="1">
      <c r="A132" s="135"/>
      <c r="B132" s="358" t="s">
        <v>168</v>
      </c>
      <c r="C132" s="358"/>
      <c r="D132" s="163"/>
      <c r="E132" s="164"/>
      <c r="F132" s="164"/>
      <c r="G132" s="164"/>
      <c r="H132" s="164"/>
      <c r="I132" s="169"/>
      <c r="J132" s="146">
        <f>SUM(J130:J131)</f>
        <v>0</v>
      </c>
    </row>
    <row r="133" spans="1:10" s="6" customFormat="1" ht="24.95" customHeight="1">
      <c r="A133" s="135"/>
      <c r="B133" s="307" t="s">
        <v>160</v>
      </c>
      <c r="C133" s="307"/>
      <c r="D133" s="307"/>
      <c r="E133" s="307"/>
      <c r="F133" s="307"/>
      <c r="G133" s="307"/>
      <c r="H133" s="307"/>
      <c r="I133" s="307"/>
      <c r="J133" s="307"/>
    </row>
    <row r="134" spans="1:10" s="6" customFormat="1" ht="24.95" customHeight="1">
      <c r="A134" s="135" t="s">
        <v>39</v>
      </c>
      <c r="B134" s="307" t="s">
        <v>12</v>
      </c>
      <c r="C134" s="307"/>
      <c r="D134" s="135" t="s">
        <v>9</v>
      </c>
      <c r="E134" s="109">
        <v>1</v>
      </c>
      <c r="F134" s="139">
        <v>0</v>
      </c>
      <c r="G134" s="109">
        <v>0</v>
      </c>
      <c r="H134" s="148">
        <f>SUM(E134:G134)</f>
        <v>1</v>
      </c>
      <c r="I134" s="160">
        <v>0</v>
      </c>
      <c r="J134" s="126">
        <f aca="true" t="shared" si="21" ref="J134:J135">H134*I134</f>
        <v>0</v>
      </c>
    </row>
    <row r="135" spans="1:10" s="6" customFormat="1" ht="24.95" customHeight="1">
      <c r="A135" s="161" t="s">
        <v>28</v>
      </c>
      <c r="B135" s="333" t="s">
        <v>151</v>
      </c>
      <c r="C135" s="333"/>
      <c r="D135" s="161" t="s">
        <v>15</v>
      </c>
      <c r="E135" s="139">
        <f aca="true" t="shared" si="22" ref="E135">E134*0.025</f>
        <v>0.025</v>
      </c>
      <c r="F135" s="139">
        <f aca="true" t="shared" si="23" ref="F135">F134*0.23</f>
        <v>0</v>
      </c>
      <c r="G135" s="139">
        <f aca="true" t="shared" si="24" ref="G135">G134*0.014</f>
        <v>0</v>
      </c>
      <c r="H135" s="148">
        <f>SUM(E135:G135)</f>
        <v>0.025</v>
      </c>
      <c r="I135" s="162">
        <v>0</v>
      </c>
      <c r="J135" s="126">
        <f t="shared" si="21"/>
        <v>0</v>
      </c>
    </row>
    <row r="136" spans="1:10" s="15" customFormat="1" ht="24.95" customHeight="1">
      <c r="A136" s="326"/>
      <c r="B136" s="327" t="s">
        <v>7</v>
      </c>
      <c r="C136" s="327"/>
      <c r="D136" s="327" t="s">
        <v>156</v>
      </c>
      <c r="E136" s="328" t="s">
        <v>97</v>
      </c>
      <c r="F136" s="328"/>
      <c r="G136" s="328"/>
      <c r="H136" s="328"/>
      <c r="I136" s="329" t="s">
        <v>4</v>
      </c>
      <c r="J136" s="330" t="s">
        <v>98</v>
      </c>
    </row>
    <row r="137" spans="1:10" s="6" customFormat="1" ht="24.95" customHeight="1">
      <c r="A137" s="326"/>
      <c r="B137" s="327"/>
      <c r="C137" s="327"/>
      <c r="D137" s="327"/>
      <c r="E137" s="138" t="s">
        <v>200</v>
      </c>
      <c r="F137" s="138" t="s">
        <v>201</v>
      </c>
      <c r="G137" s="138" t="s">
        <v>324</v>
      </c>
      <c r="H137" s="110" t="s">
        <v>8</v>
      </c>
      <c r="I137" s="329"/>
      <c r="J137" s="330"/>
    </row>
    <row r="138" spans="1:10" s="6" customFormat="1" ht="24.95" customHeight="1">
      <c r="A138" s="135"/>
      <c r="B138" s="358" t="s">
        <v>169</v>
      </c>
      <c r="C138" s="358"/>
      <c r="D138" s="163"/>
      <c r="E138" s="164"/>
      <c r="F138" s="164"/>
      <c r="G138" s="164"/>
      <c r="H138" s="164"/>
      <c r="I138" s="166"/>
      <c r="J138" s="146">
        <f>SUM(J134:J135)</f>
        <v>0</v>
      </c>
    </row>
    <row r="139" spans="1:10" s="6" customFormat="1" ht="24.95" customHeight="1">
      <c r="A139" s="135"/>
      <c r="B139" s="307" t="s">
        <v>161</v>
      </c>
      <c r="C139" s="307"/>
      <c r="D139" s="307"/>
      <c r="E139" s="307"/>
      <c r="F139" s="307"/>
      <c r="G139" s="307"/>
      <c r="H139" s="307"/>
      <c r="I139" s="307"/>
      <c r="J139" s="307"/>
    </row>
    <row r="140" spans="1:10" s="6" customFormat="1" ht="24.95" customHeight="1">
      <c r="A140" s="135" t="s">
        <v>51</v>
      </c>
      <c r="B140" s="308" t="s">
        <v>150</v>
      </c>
      <c r="C140" s="308"/>
      <c r="D140" s="135" t="s">
        <v>9</v>
      </c>
      <c r="E140" s="109">
        <v>1</v>
      </c>
      <c r="F140" s="139">
        <v>0</v>
      </c>
      <c r="G140" s="109">
        <v>0</v>
      </c>
      <c r="H140" s="148">
        <f>SUM(E140:G140)</f>
        <v>1</v>
      </c>
      <c r="I140" s="160">
        <v>0</v>
      </c>
      <c r="J140" s="126">
        <f>H140*I140</f>
        <v>0</v>
      </c>
    </row>
    <row r="141" spans="1:10" s="6" customFormat="1" ht="24.95" customHeight="1">
      <c r="A141" s="161" t="s">
        <v>28</v>
      </c>
      <c r="B141" s="333" t="s">
        <v>151</v>
      </c>
      <c r="C141" s="333"/>
      <c r="D141" s="161" t="s">
        <v>15</v>
      </c>
      <c r="E141" s="139">
        <f aca="true" t="shared" si="25" ref="E141">E140*0.04</f>
        <v>0.04</v>
      </c>
      <c r="F141" s="139">
        <f aca="true" t="shared" si="26" ref="F141">F140*0.23</f>
        <v>0</v>
      </c>
      <c r="G141" s="139">
        <f aca="true" t="shared" si="27" ref="G141">G140*0.014</f>
        <v>0</v>
      </c>
      <c r="H141" s="148">
        <f>SUM(E141:G141)</f>
        <v>0.04</v>
      </c>
      <c r="I141" s="162">
        <v>0</v>
      </c>
      <c r="J141" s="126">
        <f>H141*I141</f>
        <v>0</v>
      </c>
    </row>
    <row r="142" spans="1:10" s="6" customFormat="1" ht="24.95" customHeight="1">
      <c r="A142" s="135"/>
      <c r="B142" s="358" t="s">
        <v>170</v>
      </c>
      <c r="C142" s="358"/>
      <c r="D142" s="163"/>
      <c r="E142" s="164"/>
      <c r="F142" s="164"/>
      <c r="G142" s="164"/>
      <c r="H142" s="164"/>
      <c r="I142" s="166"/>
      <c r="J142" s="146">
        <f>SUM(J140:J141)</f>
        <v>0</v>
      </c>
    </row>
    <row r="143" spans="1:10" s="6" customFormat="1" ht="24.95" customHeight="1">
      <c r="A143" s="135"/>
      <c r="B143" s="318" t="s">
        <v>162</v>
      </c>
      <c r="C143" s="318"/>
      <c r="D143" s="318"/>
      <c r="E143" s="318"/>
      <c r="F143" s="318"/>
      <c r="G143" s="318"/>
      <c r="H143" s="318"/>
      <c r="I143" s="318"/>
      <c r="J143" s="318"/>
    </row>
    <row r="144" spans="1:10" s="6" customFormat="1" ht="24.95" customHeight="1">
      <c r="A144" s="135" t="s">
        <v>40</v>
      </c>
      <c r="B144" s="307" t="s">
        <v>13</v>
      </c>
      <c r="C144" s="307"/>
      <c r="D144" s="135" t="s">
        <v>9</v>
      </c>
      <c r="E144" s="109">
        <v>2</v>
      </c>
      <c r="F144" s="139">
        <v>0</v>
      </c>
      <c r="G144" s="109">
        <v>0</v>
      </c>
      <c r="H144" s="148">
        <f>SUM(E144:G144)</f>
        <v>2</v>
      </c>
      <c r="I144" s="160">
        <v>0</v>
      </c>
      <c r="J144" s="126">
        <f aca="true" t="shared" si="28" ref="J144:J145">H144*I144</f>
        <v>0</v>
      </c>
    </row>
    <row r="145" spans="1:10" s="6" customFormat="1" ht="24.95" customHeight="1">
      <c r="A145" s="161" t="s">
        <v>28</v>
      </c>
      <c r="B145" s="333" t="s">
        <v>151</v>
      </c>
      <c r="C145" s="333"/>
      <c r="D145" s="161" t="s">
        <v>15</v>
      </c>
      <c r="E145" s="139">
        <f aca="true" t="shared" si="29" ref="E145">E144*0.057</f>
        <v>0.114</v>
      </c>
      <c r="F145" s="139">
        <f aca="true" t="shared" si="30" ref="F145">F144*0.23</f>
        <v>0</v>
      </c>
      <c r="G145" s="139">
        <f aca="true" t="shared" si="31" ref="G145">G144*0.014</f>
        <v>0</v>
      </c>
      <c r="H145" s="148">
        <f>SUM(E145:G145)</f>
        <v>0.114</v>
      </c>
      <c r="I145" s="162">
        <v>0</v>
      </c>
      <c r="J145" s="126">
        <f t="shared" si="28"/>
        <v>0</v>
      </c>
    </row>
    <row r="146" spans="1:10" s="6" customFormat="1" ht="24.95" customHeight="1">
      <c r="A146" s="135"/>
      <c r="B146" s="361" t="s">
        <v>173</v>
      </c>
      <c r="C146" s="361"/>
      <c r="D146" s="163"/>
      <c r="E146" s="164"/>
      <c r="F146" s="164"/>
      <c r="G146" s="164"/>
      <c r="H146" s="164"/>
      <c r="I146" s="168"/>
      <c r="J146" s="146">
        <f>SUM(J144:J145)</f>
        <v>0</v>
      </c>
    </row>
    <row r="147" spans="1:10" s="6" customFormat="1" ht="24.95" customHeight="1">
      <c r="A147" s="135"/>
      <c r="B147" s="318" t="s">
        <v>163</v>
      </c>
      <c r="C147" s="318"/>
      <c r="D147" s="318"/>
      <c r="E147" s="318"/>
      <c r="F147" s="318"/>
      <c r="G147" s="318"/>
      <c r="H147" s="318"/>
      <c r="I147" s="318"/>
      <c r="J147" s="318"/>
    </row>
    <row r="148" spans="1:10" s="6" customFormat="1" ht="24.95" customHeight="1">
      <c r="A148" s="135" t="s">
        <v>63</v>
      </c>
      <c r="B148" s="307" t="s">
        <v>62</v>
      </c>
      <c r="C148" s="307"/>
      <c r="D148" s="135" t="s">
        <v>9</v>
      </c>
      <c r="E148" s="109">
        <v>1</v>
      </c>
      <c r="F148" s="139">
        <v>0</v>
      </c>
      <c r="G148" s="109">
        <v>0</v>
      </c>
      <c r="H148" s="148">
        <f>SUM(E148:G148)</f>
        <v>1</v>
      </c>
      <c r="I148" s="160">
        <v>0</v>
      </c>
      <c r="J148" s="126">
        <f aca="true" t="shared" si="32" ref="J148:J149">H148*I148</f>
        <v>0</v>
      </c>
    </row>
    <row r="149" spans="1:10" s="6" customFormat="1" ht="24.95" customHeight="1">
      <c r="A149" s="161" t="s">
        <v>28</v>
      </c>
      <c r="B149" s="333" t="s">
        <v>151</v>
      </c>
      <c r="C149" s="333"/>
      <c r="D149" s="161" t="s">
        <v>15</v>
      </c>
      <c r="E149" s="139">
        <f aca="true" t="shared" si="33" ref="E149">E148*0.077</f>
        <v>0.077</v>
      </c>
      <c r="F149" s="139">
        <f aca="true" t="shared" si="34" ref="F149">F148*0.23</f>
        <v>0</v>
      </c>
      <c r="G149" s="139">
        <f aca="true" t="shared" si="35" ref="G149">G148*0.014</f>
        <v>0</v>
      </c>
      <c r="H149" s="148">
        <f>SUM(E149:G149)</f>
        <v>0.077</v>
      </c>
      <c r="I149" s="162">
        <v>0</v>
      </c>
      <c r="J149" s="126">
        <f t="shared" si="32"/>
        <v>0</v>
      </c>
    </row>
    <row r="150" spans="1:10" s="6" customFormat="1" ht="24.95" customHeight="1">
      <c r="A150" s="135"/>
      <c r="B150" s="141" t="s">
        <v>171</v>
      </c>
      <c r="C150" s="141"/>
      <c r="D150" s="163"/>
      <c r="E150" s="164"/>
      <c r="F150" s="164"/>
      <c r="G150" s="164"/>
      <c r="H150" s="164"/>
      <c r="I150" s="168"/>
      <c r="J150" s="146">
        <f>SUM(J148:J149)</f>
        <v>0</v>
      </c>
    </row>
    <row r="151" spans="1:10" s="6" customFormat="1" ht="24.95" customHeight="1">
      <c r="A151" s="135"/>
      <c r="B151" s="318" t="s">
        <v>164</v>
      </c>
      <c r="C151" s="318"/>
      <c r="D151" s="318"/>
      <c r="E151" s="318"/>
      <c r="F151" s="318"/>
      <c r="G151" s="318"/>
      <c r="H151" s="318"/>
      <c r="I151" s="318"/>
      <c r="J151" s="318"/>
    </row>
    <row r="152" spans="1:10" s="6" customFormat="1" ht="24.95" customHeight="1">
      <c r="A152" s="135" t="s">
        <v>60</v>
      </c>
      <c r="B152" s="307" t="s">
        <v>61</v>
      </c>
      <c r="C152" s="307"/>
      <c r="D152" s="135" t="s">
        <v>9</v>
      </c>
      <c r="E152" s="109">
        <v>1</v>
      </c>
      <c r="F152" s="139">
        <v>0</v>
      </c>
      <c r="G152" s="109">
        <v>0</v>
      </c>
      <c r="H152" s="148">
        <f>SUM(E152:G152)</f>
        <v>1</v>
      </c>
      <c r="I152" s="160">
        <v>0</v>
      </c>
      <c r="J152" s="126">
        <f aca="true" t="shared" si="36" ref="J152:J153">H152*I152</f>
        <v>0</v>
      </c>
    </row>
    <row r="153" spans="1:10" s="6" customFormat="1" ht="24.95" customHeight="1">
      <c r="A153" s="161" t="s">
        <v>28</v>
      </c>
      <c r="B153" s="333" t="s">
        <v>151</v>
      </c>
      <c r="C153" s="333"/>
      <c r="D153" s="161" t="s">
        <v>15</v>
      </c>
      <c r="E153" s="139">
        <f aca="true" t="shared" si="37" ref="E153">E152*0.1</f>
        <v>0.1</v>
      </c>
      <c r="F153" s="139">
        <f aca="true" t="shared" si="38" ref="F153">F152*0.23</f>
        <v>0</v>
      </c>
      <c r="G153" s="139">
        <f aca="true" t="shared" si="39" ref="G153">G152*0.014</f>
        <v>0</v>
      </c>
      <c r="H153" s="148">
        <f>SUM(E153:G153)</f>
        <v>0.1</v>
      </c>
      <c r="I153" s="162">
        <v>0</v>
      </c>
      <c r="J153" s="126">
        <f t="shared" si="36"/>
        <v>0</v>
      </c>
    </row>
    <row r="154" spans="1:10" s="6" customFormat="1" ht="24.95" customHeight="1">
      <c r="A154" s="135"/>
      <c r="B154" s="358" t="s">
        <v>172</v>
      </c>
      <c r="C154" s="358"/>
      <c r="D154" s="163"/>
      <c r="E154" s="164"/>
      <c r="F154" s="164"/>
      <c r="G154" s="164"/>
      <c r="H154" s="164"/>
      <c r="I154" s="166"/>
      <c r="J154" s="146">
        <f>SUM(J152:J153)</f>
        <v>0</v>
      </c>
    </row>
    <row r="155" spans="1:10" ht="24.95" customHeight="1">
      <c r="A155" s="135"/>
      <c r="B155" s="406" t="s">
        <v>34</v>
      </c>
      <c r="C155" s="338"/>
      <c r="D155" s="338"/>
      <c r="E155" s="338"/>
      <c r="F155" s="338"/>
      <c r="G155" s="338"/>
      <c r="H155" s="338"/>
      <c r="I155" s="338"/>
      <c r="J155" s="338"/>
    </row>
    <row r="156" spans="1:10" ht="48" customHeight="1">
      <c r="A156" s="135" t="s">
        <v>27</v>
      </c>
      <c r="B156" s="334" t="s">
        <v>313</v>
      </c>
      <c r="C156" s="334"/>
      <c r="D156" s="132" t="s">
        <v>14</v>
      </c>
      <c r="E156" s="170">
        <v>96.1</v>
      </c>
      <c r="F156" s="170">
        <v>2270</v>
      </c>
      <c r="G156" s="171">
        <v>0</v>
      </c>
      <c r="H156" s="172">
        <f>SUM(E156:G156)</f>
        <v>2366.1</v>
      </c>
      <c r="I156" s="173">
        <v>0</v>
      </c>
      <c r="J156" s="173">
        <f>H156*I156</f>
        <v>0</v>
      </c>
    </row>
    <row r="157" spans="1:10" s="8" customFormat="1" ht="24.95" customHeight="1">
      <c r="A157" s="174"/>
      <c r="B157" s="407" t="s">
        <v>35</v>
      </c>
      <c r="C157" s="407"/>
      <c r="D157" s="175"/>
      <c r="E157" s="176"/>
      <c r="F157" s="176"/>
      <c r="G157" s="176"/>
      <c r="H157" s="177"/>
      <c r="I157" s="178"/>
      <c r="J157" s="179">
        <f>+SUM(J156:J156)</f>
        <v>0</v>
      </c>
    </row>
    <row r="158" spans="1:10" s="6" customFormat="1" ht="24.95" customHeight="1">
      <c r="A158" s="135"/>
      <c r="B158" s="404" t="s">
        <v>157</v>
      </c>
      <c r="C158" s="404"/>
      <c r="D158" s="404"/>
      <c r="E158" s="404"/>
      <c r="F158" s="404"/>
      <c r="G158" s="404"/>
      <c r="H158" s="404"/>
      <c r="I158" s="404"/>
      <c r="J158" s="146">
        <v>0</v>
      </c>
    </row>
    <row r="159" spans="1:10" s="104" customFormat="1" ht="34.5" customHeight="1">
      <c r="A159" s="180"/>
      <c r="B159" s="405" t="s">
        <v>307</v>
      </c>
      <c r="C159" s="405"/>
      <c r="D159" s="405"/>
      <c r="E159" s="405"/>
      <c r="F159" s="405"/>
      <c r="G159" s="405"/>
      <c r="H159" s="405"/>
      <c r="I159" s="405"/>
      <c r="J159" s="181">
        <f>SUM(J158,J157,J154,J150,J146,J142,J138,J132,J128,J123,J119,J115,)</f>
        <v>0</v>
      </c>
    </row>
    <row r="160" spans="1:10" s="107" customFormat="1" ht="35.1" customHeight="1">
      <c r="A160" s="106"/>
      <c r="B160" s="399" t="s">
        <v>296</v>
      </c>
      <c r="C160" s="399"/>
      <c r="D160" s="399"/>
      <c r="E160" s="399"/>
      <c r="F160" s="399"/>
      <c r="G160" s="399"/>
      <c r="H160" s="399"/>
      <c r="I160" s="399"/>
      <c r="J160" s="399"/>
    </row>
    <row r="161" spans="1:10" s="15" customFormat="1" ht="24.95" customHeight="1">
      <c r="A161" s="326"/>
      <c r="B161" s="327" t="s">
        <v>7</v>
      </c>
      <c r="C161" s="327"/>
      <c r="D161" s="327" t="s">
        <v>156</v>
      </c>
      <c r="E161" s="328" t="s">
        <v>97</v>
      </c>
      <c r="F161" s="328"/>
      <c r="G161" s="328"/>
      <c r="H161" s="328"/>
      <c r="I161" s="329" t="s">
        <v>4</v>
      </c>
      <c r="J161" s="330" t="s">
        <v>98</v>
      </c>
    </row>
    <row r="162" spans="1:10" s="6" customFormat="1" ht="24.95" customHeight="1">
      <c r="A162" s="326"/>
      <c r="B162" s="327"/>
      <c r="C162" s="327"/>
      <c r="D162" s="327"/>
      <c r="E162" s="158" t="s">
        <v>200</v>
      </c>
      <c r="F162" s="158" t="s">
        <v>201</v>
      </c>
      <c r="G162" s="138" t="s">
        <v>324</v>
      </c>
      <c r="H162" s="110" t="s">
        <v>8</v>
      </c>
      <c r="I162" s="329"/>
      <c r="J162" s="330"/>
    </row>
    <row r="163" spans="1:10" s="105" customFormat="1" ht="24.95" customHeight="1">
      <c r="A163" s="109"/>
      <c r="B163" s="398" t="s">
        <v>101</v>
      </c>
      <c r="C163" s="398"/>
      <c r="D163" s="398"/>
      <c r="E163" s="398"/>
      <c r="F163" s="398"/>
      <c r="G163" s="398"/>
      <c r="H163" s="398"/>
      <c r="I163" s="398"/>
      <c r="J163" s="398"/>
    </row>
    <row r="164" spans="1:10" s="108" customFormat="1" ht="24.95" customHeight="1">
      <c r="A164" s="109"/>
      <c r="B164" s="393" t="s">
        <v>107</v>
      </c>
      <c r="C164" s="393"/>
      <c r="D164" s="393"/>
      <c r="E164" s="393"/>
      <c r="F164" s="393"/>
      <c r="G164" s="393"/>
      <c r="H164" s="393"/>
      <c r="I164" s="393"/>
      <c r="J164" s="393"/>
    </row>
    <row r="165" spans="1:10" s="108" customFormat="1" ht="24.95" customHeight="1">
      <c r="A165" s="109" t="s">
        <v>109</v>
      </c>
      <c r="B165" s="323" t="s">
        <v>102</v>
      </c>
      <c r="C165" s="323"/>
      <c r="D165" s="109" t="s">
        <v>9</v>
      </c>
      <c r="E165" s="109">
        <v>0</v>
      </c>
      <c r="F165" s="109">
        <v>5</v>
      </c>
      <c r="G165" s="109">
        <v>0</v>
      </c>
      <c r="H165" s="182">
        <f aca="true" t="shared" si="40" ref="H165:H171">SUM(E165:G165)</f>
        <v>5</v>
      </c>
      <c r="I165" s="183">
        <v>0</v>
      </c>
      <c r="J165" s="184">
        <f>H165*I165</f>
        <v>0</v>
      </c>
    </row>
    <row r="166" spans="1:10" s="108" customFormat="1" ht="24.95" customHeight="1">
      <c r="A166" s="109" t="s">
        <v>110</v>
      </c>
      <c r="B166" s="323" t="s">
        <v>103</v>
      </c>
      <c r="C166" s="323"/>
      <c r="D166" s="109" t="s">
        <v>9</v>
      </c>
      <c r="E166" s="109">
        <v>2</v>
      </c>
      <c r="F166" s="109">
        <v>0</v>
      </c>
      <c r="G166" s="109">
        <v>0</v>
      </c>
      <c r="H166" s="182">
        <f t="shared" si="40"/>
        <v>2</v>
      </c>
      <c r="I166" s="183">
        <v>0</v>
      </c>
      <c r="J166" s="184">
        <f aca="true" t="shared" si="41" ref="J166:J171">H166*I166</f>
        <v>0</v>
      </c>
    </row>
    <row r="167" spans="1:10" s="108" customFormat="1" ht="24.95" customHeight="1">
      <c r="A167" s="109" t="s">
        <v>111</v>
      </c>
      <c r="B167" s="323" t="s">
        <v>104</v>
      </c>
      <c r="C167" s="323"/>
      <c r="D167" s="109" t="s">
        <v>9</v>
      </c>
      <c r="E167" s="109">
        <v>11</v>
      </c>
      <c r="F167" s="109">
        <v>0</v>
      </c>
      <c r="G167" s="109">
        <v>0</v>
      </c>
      <c r="H167" s="182">
        <f t="shared" si="40"/>
        <v>11</v>
      </c>
      <c r="I167" s="183">
        <v>0</v>
      </c>
      <c r="J167" s="184">
        <f t="shared" si="41"/>
        <v>0</v>
      </c>
    </row>
    <row r="168" spans="1:10" s="108" customFormat="1" ht="24.95" customHeight="1">
      <c r="A168" s="109" t="s">
        <v>112</v>
      </c>
      <c r="B168" s="323" t="s">
        <v>105</v>
      </c>
      <c r="C168" s="323"/>
      <c r="D168" s="109" t="s">
        <v>9</v>
      </c>
      <c r="E168" s="109">
        <v>3</v>
      </c>
      <c r="F168" s="109">
        <v>0</v>
      </c>
      <c r="G168" s="109">
        <v>0</v>
      </c>
      <c r="H168" s="182">
        <f t="shared" si="40"/>
        <v>3</v>
      </c>
      <c r="I168" s="183">
        <v>0</v>
      </c>
      <c r="J168" s="184">
        <f t="shared" si="41"/>
        <v>0</v>
      </c>
    </row>
    <row r="169" spans="1:10" s="108" customFormat="1" ht="24.95" customHeight="1">
      <c r="A169" s="109" t="s">
        <v>154</v>
      </c>
      <c r="B169" s="323" t="s">
        <v>152</v>
      </c>
      <c r="C169" s="323"/>
      <c r="D169" s="109" t="s">
        <v>9</v>
      </c>
      <c r="E169" s="109">
        <v>2</v>
      </c>
      <c r="F169" s="109">
        <v>0</v>
      </c>
      <c r="G169" s="109">
        <v>0</v>
      </c>
      <c r="H169" s="182">
        <f t="shared" si="40"/>
        <v>2</v>
      </c>
      <c r="I169" s="183">
        <v>0</v>
      </c>
      <c r="J169" s="184">
        <f t="shared" si="41"/>
        <v>0</v>
      </c>
    </row>
    <row r="170" spans="1:10" s="108" customFormat="1" ht="24.95" customHeight="1">
      <c r="A170" s="109" t="s">
        <v>113</v>
      </c>
      <c r="B170" s="323" t="s">
        <v>106</v>
      </c>
      <c r="C170" s="323"/>
      <c r="D170" s="109" t="s">
        <v>9</v>
      </c>
      <c r="E170" s="109">
        <v>1</v>
      </c>
      <c r="F170" s="109">
        <v>0</v>
      </c>
      <c r="G170" s="109">
        <v>0</v>
      </c>
      <c r="H170" s="182">
        <f t="shared" si="40"/>
        <v>1</v>
      </c>
      <c r="I170" s="183">
        <v>0</v>
      </c>
      <c r="J170" s="184">
        <f t="shared" si="41"/>
        <v>0</v>
      </c>
    </row>
    <row r="171" spans="1:10" s="108" customFormat="1" ht="24.95" customHeight="1">
      <c r="A171" s="109" t="s">
        <v>155</v>
      </c>
      <c r="B171" s="323" t="s">
        <v>153</v>
      </c>
      <c r="C171" s="323"/>
      <c r="D171" s="109" t="s">
        <v>9</v>
      </c>
      <c r="E171" s="109">
        <v>1</v>
      </c>
      <c r="F171" s="109">
        <v>0</v>
      </c>
      <c r="G171" s="109">
        <v>0</v>
      </c>
      <c r="H171" s="182">
        <f t="shared" si="40"/>
        <v>1</v>
      </c>
      <c r="I171" s="183">
        <v>0</v>
      </c>
      <c r="J171" s="184">
        <f t="shared" si="41"/>
        <v>0</v>
      </c>
    </row>
    <row r="172" spans="1:10" s="108" customFormat="1" ht="24.95" customHeight="1">
      <c r="A172" s="109" t="s">
        <v>27</v>
      </c>
      <c r="B172" s="324" t="s">
        <v>314</v>
      </c>
      <c r="C172" s="324"/>
      <c r="D172" s="109" t="s">
        <v>196</v>
      </c>
      <c r="E172" s="400">
        <v>1</v>
      </c>
      <c r="F172" s="401"/>
      <c r="G172" s="401"/>
      <c r="H172" s="402"/>
      <c r="I172" s="154">
        <v>0</v>
      </c>
      <c r="J172" s="184">
        <f>E172*I172</f>
        <v>0</v>
      </c>
    </row>
    <row r="173" spans="1:10" s="108" customFormat="1" ht="24.95" customHeight="1">
      <c r="A173" s="109"/>
      <c r="B173" s="403" t="s">
        <v>108</v>
      </c>
      <c r="C173" s="403"/>
      <c r="D173" s="185"/>
      <c r="E173" s="185"/>
      <c r="F173" s="185"/>
      <c r="G173" s="185"/>
      <c r="H173" s="186">
        <f>SUM(H165:H171)</f>
        <v>25</v>
      </c>
      <c r="I173" s="187"/>
      <c r="J173" s="188">
        <f>SUM(J165:J172)</f>
        <v>0</v>
      </c>
    </row>
    <row r="174" spans="1:10" s="108" customFormat="1" ht="24.95" customHeight="1">
      <c r="A174" s="109"/>
      <c r="B174" s="393" t="s">
        <v>366</v>
      </c>
      <c r="C174" s="393"/>
      <c r="D174" s="393"/>
      <c r="E174" s="393"/>
      <c r="F174" s="393"/>
      <c r="G174" s="393"/>
      <c r="H174" s="393"/>
      <c r="I174" s="393"/>
      <c r="J174" s="393"/>
    </row>
    <row r="175" spans="1:10" s="108" customFormat="1" ht="24.95" customHeight="1">
      <c r="A175" s="109" t="s">
        <v>109</v>
      </c>
      <c r="B175" s="323" t="s">
        <v>102</v>
      </c>
      <c r="C175" s="323"/>
      <c r="D175" s="109" t="s">
        <v>9</v>
      </c>
      <c r="E175" s="109">
        <v>0</v>
      </c>
      <c r="F175" s="109">
        <v>1</v>
      </c>
      <c r="G175" s="109">
        <v>0</v>
      </c>
      <c r="H175" s="182">
        <f aca="true" t="shared" si="42" ref="H175:H177">SUM(E175:G175)</f>
        <v>1</v>
      </c>
      <c r="I175" s="183">
        <v>0</v>
      </c>
      <c r="J175" s="184">
        <f>H175*I175</f>
        <v>0</v>
      </c>
    </row>
    <row r="176" spans="1:10" s="108" customFormat="1" ht="24.95" customHeight="1">
      <c r="A176" s="109" t="s">
        <v>112</v>
      </c>
      <c r="B176" s="323" t="s">
        <v>105</v>
      </c>
      <c r="C176" s="323"/>
      <c r="D176" s="109" t="s">
        <v>9</v>
      </c>
      <c r="E176" s="109">
        <v>2</v>
      </c>
      <c r="F176" s="109">
        <v>0</v>
      </c>
      <c r="G176" s="109">
        <v>0</v>
      </c>
      <c r="H176" s="182">
        <f t="shared" si="42"/>
        <v>2</v>
      </c>
      <c r="I176" s="183">
        <v>0</v>
      </c>
      <c r="J176" s="184">
        <f aca="true" t="shared" si="43" ref="J176:J177">H176*I176</f>
        <v>0</v>
      </c>
    </row>
    <row r="177" spans="1:10" s="108" customFormat="1" ht="24.95" customHeight="1">
      <c r="A177" s="109" t="s">
        <v>154</v>
      </c>
      <c r="B177" s="323" t="s">
        <v>152</v>
      </c>
      <c r="C177" s="323"/>
      <c r="D177" s="109" t="s">
        <v>9</v>
      </c>
      <c r="E177" s="109">
        <v>1</v>
      </c>
      <c r="F177" s="109">
        <v>0</v>
      </c>
      <c r="G177" s="109">
        <v>0</v>
      </c>
      <c r="H177" s="182">
        <f t="shared" si="42"/>
        <v>1</v>
      </c>
      <c r="I177" s="183">
        <v>0</v>
      </c>
      <c r="J177" s="184">
        <f t="shared" si="43"/>
        <v>0</v>
      </c>
    </row>
    <row r="178" spans="1:10" s="108" customFormat="1" ht="24.95" customHeight="1">
      <c r="A178" s="109" t="s">
        <v>27</v>
      </c>
      <c r="B178" s="324" t="s">
        <v>314</v>
      </c>
      <c r="C178" s="324"/>
      <c r="D178" s="109" t="s">
        <v>196</v>
      </c>
      <c r="E178" s="400">
        <v>1</v>
      </c>
      <c r="F178" s="401"/>
      <c r="G178" s="401"/>
      <c r="H178" s="402"/>
      <c r="I178" s="154">
        <v>0</v>
      </c>
      <c r="J178" s="184">
        <f>E178*I178</f>
        <v>0</v>
      </c>
    </row>
    <row r="179" spans="1:10" s="108" customFormat="1" ht="24.95" customHeight="1">
      <c r="A179" s="109"/>
      <c r="B179" s="403" t="s">
        <v>365</v>
      </c>
      <c r="C179" s="403"/>
      <c r="D179" s="185"/>
      <c r="E179" s="185"/>
      <c r="F179" s="185"/>
      <c r="G179" s="185"/>
      <c r="H179" s="186">
        <f>SUM(H175:H177)</f>
        <v>4</v>
      </c>
      <c r="I179" s="187"/>
      <c r="J179" s="188">
        <f>SUM(J175:J178)</f>
        <v>0</v>
      </c>
    </row>
    <row r="180" spans="1:10" s="103" customFormat="1" ht="36" customHeight="1">
      <c r="A180" s="189"/>
      <c r="B180" s="388" t="s">
        <v>306</v>
      </c>
      <c r="C180" s="388"/>
      <c r="D180" s="388"/>
      <c r="E180" s="388"/>
      <c r="F180" s="388"/>
      <c r="G180" s="388"/>
      <c r="H180" s="388"/>
      <c r="I180" s="388"/>
      <c r="J180" s="190">
        <f>SUM(J173+J179)</f>
        <v>0</v>
      </c>
    </row>
    <row r="181" spans="1:10" s="102" customFormat="1" ht="37.5" customHeight="1">
      <c r="A181" s="191"/>
      <c r="B181" s="385" t="s">
        <v>297</v>
      </c>
      <c r="C181" s="386"/>
      <c r="D181" s="386"/>
      <c r="E181" s="386"/>
      <c r="F181" s="386"/>
      <c r="G181" s="386"/>
      <c r="H181" s="386"/>
      <c r="I181" s="386"/>
      <c r="J181" s="387"/>
    </row>
    <row r="182" spans="1:10" s="15" customFormat="1" ht="24.95" customHeight="1">
      <c r="A182" s="326"/>
      <c r="B182" s="327" t="s">
        <v>7</v>
      </c>
      <c r="C182" s="327"/>
      <c r="D182" s="327" t="s">
        <v>156</v>
      </c>
      <c r="E182" s="328" t="s">
        <v>97</v>
      </c>
      <c r="F182" s="328"/>
      <c r="G182" s="328"/>
      <c r="H182" s="328"/>
      <c r="I182" s="329" t="s">
        <v>4</v>
      </c>
      <c r="J182" s="330" t="s">
        <v>98</v>
      </c>
    </row>
    <row r="183" spans="1:10" s="6" customFormat="1" ht="24.95" customHeight="1">
      <c r="A183" s="326"/>
      <c r="B183" s="327"/>
      <c r="C183" s="327"/>
      <c r="D183" s="327"/>
      <c r="E183" s="158" t="s">
        <v>200</v>
      </c>
      <c r="F183" s="158" t="s">
        <v>201</v>
      </c>
      <c r="G183" s="158" t="s">
        <v>324</v>
      </c>
      <c r="H183" s="110" t="s">
        <v>8</v>
      </c>
      <c r="I183" s="329"/>
      <c r="J183" s="330"/>
    </row>
    <row r="184" spans="1:10" ht="24.95" customHeight="1">
      <c r="A184" s="135"/>
      <c r="B184" s="338" t="s">
        <v>16</v>
      </c>
      <c r="C184" s="338"/>
      <c r="D184" s="338"/>
      <c r="E184" s="338"/>
      <c r="F184" s="338"/>
      <c r="G184" s="338"/>
      <c r="H184" s="338"/>
      <c r="I184" s="338"/>
      <c r="J184" s="338"/>
    </row>
    <row r="185" spans="1:11" s="14" customFormat="1" ht="24.75" customHeight="1">
      <c r="A185" s="135" t="s">
        <v>27</v>
      </c>
      <c r="B185" s="318" t="s">
        <v>145</v>
      </c>
      <c r="C185" s="318"/>
      <c r="D185" s="132" t="s">
        <v>14</v>
      </c>
      <c r="E185" s="132">
        <f>(100*1.2)+91</f>
        <v>211</v>
      </c>
      <c r="F185" s="132">
        <v>0</v>
      </c>
      <c r="G185" s="132">
        <v>1086</v>
      </c>
      <c r="H185" s="192">
        <f aca="true" t="shared" si="44" ref="H185:H196">SUM(E185:G185)</f>
        <v>1297</v>
      </c>
      <c r="I185" s="39">
        <v>0</v>
      </c>
      <c r="J185" s="173">
        <f>I185*H185</f>
        <v>0</v>
      </c>
      <c r="K185" s="41"/>
    </row>
    <row r="186" spans="1:10" s="14" customFormat="1" ht="24.95" customHeight="1">
      <c r="A186" s="132" t="s">
        <v>46</v>
      </c>
      <c r="B186" s="394" t="s">
        <v>32</v>
      </c>
      <c r="C186" s="395"/>
      <c r="D186" s="132" t="s">
        <v>14</v>
      </c>
      <c r="E186" s="132">
        <v>91</v>
      </c>
      <c r="F186" s="132">
        <v>0</v>
      </c>
      <c r="G186" s="132">
        <v>1086</v>
      </c>
      <c r="H186" s="192">
        <f t="shared" si="44"/>
        <v>1177</v>
      </c>
      <c r="I186" s="193">
        <v>0</v>
      </c>
      <c r="J186" s="173">
        <f aca="true" t="shared" si="45" ref="J186:J196">I186*H186</f>
        <v>0</v>
      </c>
    </row>
    <row r="187" spans="1:10" s="14" customFormat="1" ht="24.95" customHeight="1">
      <c r="A187" s="132" t="s">
        <v>115</v>
      </c>
      <c r="B187" s="394" t="s">
        <v>72</v>
      </c>
      <c r="C187" s="395"/>
      <c r="D187" s="132" t="s">
        <v>14</v>
      </c>
      <c r="E187" s="132">
        <f>100*1.2</f>
        <v>120</v>
      </c>
      <c r="F187" s="132">
        <v>0</v>
      </c>
      <c r="G187" s="132">
        <v>0</v>
      </c>
      <c r="H187" s="192">
        <f t="shared" si="44"/>
        <v>120</v>
      </c>
      <c r="I187" s="193">
        <v>0</v>
      </c>
      <c r="J187" s="173">
        <f t="shared" si="45"/>
        <v>0</v>
      </c>
    </row>
    <row r="188" spans="1:10" s="14" customFormat="1" ht="24.95" customHeight="1">
      <c r="A188" s="132" t="s">
        <v>28</v>
      </c>
      <c r="B188" s="394" t="s">
        <v>123</v>
      </c>
      <c r="C188" s="394"/>
      <c r="D188" s="132" t="s">
        <v>41</v>
      </c>
      <c r="E188" s="194">
        <f aca="true" t="shared" si="46" ref="E188:F188">SUM(E186*0.0008+E187*0.0008)</f>
        <v>0.1688</v>
      </c>
      <c r="F188" s="194">
        <f t="shared" si="46"/>
        <v>0</v>
      </c>
      <c r="G188" s="132">
        <f>G186*0.0008</f>
        <v>0.8688</v>
      </c>
      <c r="H188" s="192">
        <f t="shared" si="44"/>
        <v>1.0376</v>
      </c>
      <c r="I188" s="193">
        <v>0</v>
      </c>
      <c r="J188" s="173">
        <f t="shared" si="45"/>
        <v>0</v>
      </c>
    </row>
    <row r="189" spans="1:10" s="14" customFormat="1" ht="24.95" customHeight="1">
      <c r="A189" s="132" t="s">
        <v>58</v>
      </c>
      <c r="B189" s="394" t="s">
        <v>82</v>
      </c>
      <c r="C189" s="394"/>
      <c r="D189" s="132" t="s">
        <v>14</v>
      </c>
      <c r="E189" s="195">
        <f aca="true" t="shared" si="47" ref="E189:F189">SUM(E186)</f>
        <v>91</v>
      </c>
      <c r="F189" s="195">
        <f t="shared" si="47"/>
        <v>0</v>
      </c>
      <c r="G189" s="132">
        <f>G185</f>
        <v>1086</v>
      </c>
      <c r="H189" s="192">
        <f t="shared" si="44"/>
        <v>1177</v>
      </c>
      <c r="I189" s="193">
        <v>0</v>
      </c>
      <c r="J189" s="173">
        <f t="shared" si="45"/>
        <v>0</v>
      </c>
    </row>
    <row r="190" spans="1:10" s="14" customFormat="1" ht="24.95" customHeight="1">
      <c r="A190" s="132" t="s">
        <v>80</v>
      </c>
      <c r="B190" s="394" t="s">
        <v>81</v>
      </c>
      <c r="C190" s="394"/>
      <c r="D190" s="132" t="s">
        <v>14</v>
      </c>
      <c r="E190" s="195">
        <f aca="true" t="shared" si="48" ref="E190:F190">SUM(E187)</f>
        <v>120</v>
      </c>
      <c r="F190" s="195">
        <f t="shared" si="48"/>
        <v>0</v>
      </c>
      <c r="G190" s="132">
        <v>0</v>
      </c>
      <c r="H190" s="192">
        <f t="shared" si="44"/>
        <v>120</v>
      </c>
      <c r="I190" s="193">
        <v>0</v>
      </c>
      <c r="J190" s="173">
        <f t="shared" si="45"/>
        <v>0</v>
      </c>
    </row>
    <row r="191" spans="1:10" s="14" customFormat="1" ht="33.75" customHeight="1">
      <c r="A191" s="133" t="s">
        <v>27</v>
      </c>
      <c r="B191" s="394" t="s">
        <v>265</v>
      </c>
      <c r="C191" s="394"/>
      <c r="D191" s="132" t="s">
        <v>14</v>
      </c>
      <c r="E191" s="195">
        <f>E189+E190</f>
        <v>211</v>
      </c>
      <c r="F191" s="195">
        <f aca="true" t="shared" si="49" ref="F191">F189+F190</f>
        <v>0</v>
      </c>
      <c r="G191" s="132">
        <v>0</v>
      </c>
      <c r="H191" s="192">
        <f t="shared" si="44"/>
        <v>211</v>
      </c>
      <c r="I191" s="193">
        <v>0</v>
      </c>
      <c r="J191" s="173">
        <f t="shared" si="45"/>
        <v>0</v>
      </c>
    </row>
    <row r="192" spans="1:10" s="24" customFormat="1" ht="24.95" customHeight="1">
      <c r="A192" s="133" t="s">
        <v>28</v>
      </c>
      <c r="B192" s="373" t="s">
        <v>326</v>
      </c>
      <c r="C192" s="373"/>
      <c r="D192" s="196" t="s">
        <v>15</v>
      </c>
      <c r="E192" s="197">
        <v>0</v>
      </c>
      <c r="F192" s="196">
        <v>0</v>
      </c>
      <c r="G192" s="196">
        <f>1086*0.1*1.3</f>
        <v>141.18</v>
      </c>
      <c r="H192" s="198">
        <f t="shared" si="44"/>
        <v>141.18</v>
      </c>
      <c r="I192" s="199">
        <v>0</v>
      </c>
      <c r="J192" s="200">
        <f aca="true" t="shared" si="50" ref="J192">I192*H192</f>
        <v>0</v>
      </c>
    </row>
    <row r="193" spans="1:10" s="24" customFormat="1" ht="24.95" customHeight="1">
      <c r="A193" s="133" t="s">
        <v>27</v>
      </c>
      <c r="B193" s="397" t="s">
        <v>76</v>
      </c>
      <c r="C193" s="397"/>
      <c r="D193" s="201" t="s">
        <v>15</v>
      </c>
      <c r="E193" s="197">
        <f>E192</f>
        <v>0</v>
      </c>
      <c r="F193" s="196">
        <v>0</v>
      </c>
      <c r="G193" s="196">
        <f>G192</f>
        <v>141.18</v>
      </c>
      <c r="H193" s="198">
        <f t="shared" si="44"/>
        <v>141.18</v>
      </c>
      <c r="I193" s="202">
        <v>0</v>
      </c>
      <c r="J193" s="200">
        <f aca="true" t="shared" si="51" ref="J193:J195">I193*H193</f>
        <v>0</v>
      </c>
    </row>
    <row r="194" spans="1:10" s="24" customFormat="1" ht="24.95" customHeight="1">
      <c r="A194" s="196" t="s">
        <v>269</v>
      </c>
      <c r="B194" s="374" t="s">
        <v>270</v>
      </c>
      <c r="C194" s="374"/>
      <c r="D194" s="196" t="s">
        <v>14</v>
      </c>
      <c r="E194" s="196">
        <v>0</v>
      </c>
      <c r="F194" s="196">
        <v>0</v>
      </c>
      <c r="G194" s="132">
        <v>1086</v>
      </c>
      <c r="H194" s="198">
        <f t="shared" si="44"/>
        <v>1086</v>
      </c>
      <c r="I194" s="199">
        <v>0</v>
      </c>
      <c r="J194" s="200">
        <f aca="true" t="shared" si="52" ref="J194">I194*H194</f>
        <v>0</v>
      </c>
    </row>
    <row r="195" spans="1:10" s="24" customFormat="1" ht="24.95" customHeight="1">
      <c r="A195" s="133" t="s">
        <v>33</v>
      </c>
      <c r="B195" s="341" t="s">
        <v>59</v>
      </c>
      <c r="C195" s="341"/>
      <c r="D195" s="133" t="s">
        <v>14</v>
      </c>
      <c r="E195" s="196">
        <v>0</v>
      </c>
      <c r="F195" s="196">
        <v>0</v>
      </c>
      <c r="G195" s="132">
        <v>1086</v>
      </c>
      <c r="H195" s="198">
        <f t="shared" si="44"/>
        <v>1086</v>
      </c>
      <c r="I195" s="203">
        <v>0</v>
      </c>
      <c r="J195" s="200">
        <f t="shared" si="51"/>
        <v>0</v>
      </c>
    </row>
    <row r="196" spans="1:10" s="24" customFormat="1" ht="24.95" customHeight="1">
      <c r="A196" s="133" t="s">
        <v>27</v>
      </c>
      <c r="B196" s="341" t="s">
        <v>315</v>
      </c>
      <c r="C196" s="341"/>
      <c r="D196" s="133" t="s">
        <v>23</v>
      </c>
      <c r="E196" s="204">
        <f>E185*0.01</f>
        <v>2.11</v>
      </c>
      <c r="F196" s="204">
        <f aca="true" t="shared" si="53" ref="F196:G196">F185*0.01</f>
        <v>0</v>
      </c>
      <c r="G196" s="204">
        <f t="shared" si="53"/>
        <v>10.86</v>
      </c>
      <c r="H196" s="192">
        <f t="shared" si="44"/>
        <v>12.969999999999999</v>
      </c>
      <c r="I196" s="203">
        <v>0</v>
      </c>
      <c r="J196" s="200">
        <f t="shared" si="45"/>
        <v>0</v>
      </c>
    </row>
    <row r="197" spans="1:10" ht="24.95" customHeight="1">
      <c r="A197" s="135"/>
      <c r="B197" s="337" t="s">
        <v>17</v>
      </c>
      <c r="C197" s="337"/>
      <c r="D197" s="205"/>
      <c r="E197" s="206"/>
      <c r="F197" s="206"/>
      <c r="G197" s="206"/>
      <c r="H197" s="207"/>
      <c r="I197" s="208"/>
      <c r="J197" s="209">
        <f>SUM(J185:J196)</f>
        <v>0</v>
      </c>
    </row>
    <row r="198" spans="1:10" s="15" customFormat="1" ht="24.95" customHeight="1">
      <c r="A198" s="326"/>
      <c r="B198" s="327" t="s">
        <v>7</v>
      </c>
      <c r="C198" s="327"/>
      <c r="D198" s="327" t="s">
        <v>156</v>
      </c>
      <c r="E198" s="328" t="s">
        <v>97</v>
      </c>
      <c r="F198" s="328"/>
      <c r="G198" s="328"/>
      <c r="H198" s="328"/>
      <c r="I198" s="329" t="s">
        <v>4</v>
      </c>
      <c r="J198" s="330" t="s">
        <v>98</v>
      </c>
    </row>
    <row r="199" spans="1:10" s="6" customFormat="1" ht="24.95" customHeight="1">
      <c r="A199" s="326"/>
      <c r="B199" s="327"/>
      <c r="C199" s="327"/>
      <c r="D199" s="327"/>
      <c r="E199" s="158" t="s">
        <v>200</v>
      </c>
      <c r="F199" s="158" t="s">
        <v>201</v>
      </c>
      <c r="G199" s="138" t="s">
        <v>324</v>
      </c>
      <c r="H199" s="110" t="s">
        <v>8</v>
      </c>
      <c r="I199" s="329"/>
      <c r="J199" s="330"/>
    </row>
    <row r="200" spans="1:10" ht="24.95" customHeight="1">
      <c r="A200" s="147"/>
      <c r="B200" s="338" t="s">
        <v>52</v>
      </c>
      <c r="C200" s="338"/>
      <c r="D200" s="338"/>
      <c r="E200" s="338"/>
      <c r="F200" s="338"/>
      <c r="G200" s="338"/>
      <c r="H200" s="338"/>
      <c r="I200" s="338"/>
      <c r="J200" s="338"/>
    </row>
    <row r="201" spans="1:10" ht="24.95" customHeight="1">
      <c r="A201" s="210" t="s">
        <v>27</v>
      </c>
      <c r="B201" s="396" t="s">
        <v>137</v>
      </c>
      <c r="C201" s="396"/>
      <c r="D201" s="211" t="s">
        <v>9</v>
      </c>
      <c r="E201" s="212">
        <f>E88+E98+E102+E105</f>
        <v>611</v>
      </c>
      <c r="F201" s="212">
        <f>F88+F98+F102+F105</f>
        <v>0</v>
      </c>
      <c r="G201" s="213">
        <f>G88+G98+G102+G105</f>
        <v>3299</v>
      </c>
      <c r="H201" s="115">
        <f aca="true" t="shared" si="54" ref="H201:H226">SUM(E201:G201)</f>
        <v>3910</v>
      </c>
      <c r="I201" s="193">
        <v>0</v>
      </c>
      <c r="J201" s="126">
        <f>I201*H201</f>
        <v>0</v>
      </c>
    </row>
    <row r="202" spans="1:10" ht="24.95" customHeight="1">
      <c r="A202" s="147" t="s">
        <v>114</v>
      </c>
      <c r="B202" s="308" t="s">
        <v>64</v>
      </c>
      <c r="C202" s="308"/>
      <c r="D202" s="135" t="s">
        <v>9</v>
      </c>
      <c r="E202" s="113">
        <f>E88</f>
        <v>228</v>
      </c>
      <c r="F202" s="113">
        <f>F88</f>
        <v>0</v>
      </c>
      <c r="G202" s="214">
        <f>G88</f>
        <v>3299</v>
      </c>
      <c r="H202" s="115">
        <f t="shared" si="54"/>
        <v>3527</v>
      </c>
      <c r="I202" s="193">
        <v>0</v>
      </c>
      <c r="J202" s="126">
        <f aca="true" t="shared" si="55" ref="J202:J216">I202*H202</f>
        <v>0</v>
      </c>
    </row>
    <row r="203" spans="1:10" ht="24.95" customHeight="1">
      <c r="A203" s="147" t="s">
        <v>42</v>
      </c>
      <c r="B203" s="308" t="s">
        <v>43</v>
      </c>
      <c r="C203" s="308"/>
      <c r="D203" s="135" t="s">
        <v>9</v>
      </c>
      <c r="E203" s="113">
        <f>E102</f>
        <v>19</v>
      </c>
      <c r="F203" s="113">
        <f>F102</f>
        <v>0</v>
      </c>
      <c r="G203" s="214">
        <f>G102</f>
        <v>0</v>
      </c>
      <c r="H203" s="115">
        <f t="shared" si="54"/>
        <v>19</v>
      </c>
      <c r="I203" s="193">
        <v>0</v>
      </c>
      <c r="J203" s="126">
        <f t="shared" si="55"/>
        <v>0</v>
      </c>
    </row>
    <row r="204" spans="1:10" s="13" customFormat="1" ht="24.95" customHeight="1">
      <c r="A204" s="147" t="s">
        <v>177</v>
      </c>
      <c r="B204" s="333" t="s">
        <v>67</v>
      </c>
      <c r="C204" s="333"/>
      <c r="D204" s="147" t="s">
        <v>9</v>
      </c>
      <c r="E204" s="113">
        <f>E98</f>
        <v>325</v>
      </c>
      <c r="F204" s="113">
        <f>F98</f>
        <v>0</v>
      </c>
      <c r="G204" s="214">
        <f>G98</f>
        <v>0</v>
      </c>
      <c r="H204" s="115">
        <f t="shared" si="54"/>
        <v>325</v>
      </c>
      <c r="I204" s="215">
        <v>0</v>
      </c>
      <c r="J204" s="126">
        <f t="shared" si="55"/>
        <v>0</v>
      </c>
    </row>
    <row r="205" spans="1:10" ht="24.95" customHeight="1">
      <c r="A205" s="147" t="s">
        <v>91</v>
      </c>
      <c r="B205" s="333" t="s">
        <v>89</v>
      </c>
      <c r="C205" s="333"/>
      <c r="D205" s="147" t="s">
        <v>9</v>
      </c>
      <c r="E205" s="113">
        <f>E105</f>
        <v>39</v>
      </c>
      <c r="F205" s="113">
        <f>F105</f>
        <v>0</v>
      </c>
      <c r="G205" s="214">
        <f>G105</f>
        <v>0</v>
      </c>
      <c r="H205" s="115">
        <f t="shared" si="54"/>
        <v>39</v>
      </c>
      <c r="I205" s="215">
        <v>0</v>
      </c>
      <c r="J205" s="126">
        <f t="shared" si="55"/>
        <v>0</v>
      </c>
    </row>
    <row r="206" spans="1:10" ht="24.95" customHeight="1">
      <c r="A206" s="147" t="s">
        <v>65</v>
      </c>
      <c r="B206" s="333" t="s">
        <v>66</v>
      </c>
      <c r="C206" s="333"/>
      <c r="D206" s="147" t="s">
        <v>9</v>
      </c>
      <c r="E206" s="109">
        <f aca="true" t="shared" si="56" ref="E206:F206">SUM(E202)</f>
        <v>228</v>
      </c>
      <c r="F206" s="109">
        <f t="shared" si="56"/>
        <v>0</v>
      </c>
      <c r="G206" s="133">
        <f aca="true" t="shared" si="57" ref="G206">SUM(G202)</f>
        <v>3299</v>
      </c>
      <c r="H206" s="115">
        <f t="shared" si="54"/>
        <v>3527</v>
      </c>
      <c r="I206" s="215">
        <v>0</v>
      </c>
      <c r="J206" s="126">
        <f t="shared" si="55"/>
        <v>0</v>
      </c>
    </row>
    <row r="207" spans="1:10" ht="24.95" customHeight="1">
      <c r="A207" s="147" t="s">
        <v>56</v>
      </c>
      <c r="B207" s="333" t="s">
        <v>55</v>
      </c>
      <c r="C207" s="333"/>
      <c r="D207" s="147" t="s">
        <v>9</v>
      </c>
      <c r="E207" s="109">
        <f aca="true" t="shared" si="58" ref="E207:F207">SUM(E203)</f>
        <v>19</v>
      </c>
      <c r="F207" s="109">
        <f t="shared" si="58"/>
        <v>0</v>
      </c>
      <c r="G207" s="133">
        <f aca="true" t="shared" si="59" ref="G207">SUM(G203)</f>
        <v>0</v>
      </c>
      <c r="H207" s="115">
        <f t="shared" si="54"/>
        <v>19</v>
      </c>
      <c r="I207" s="215">
        <v>0</v>
      </c>
      <c r="J207" s="126">
        <f t="shared" si="55"/>
        <v>0</v>
      </c>
    </row>
    <row r="208" spans="1:10" ht="24.95" customHeight="1">
      <c r="A208" s="147" t="s">
        <v>68</v>
      </c>
      <c r="B208" s="333" t="s">
        <v>69</v>
      </c>
      <c r="C208" s="333"/>
      <c r="D208" s="147" t="s">
        <v>9</v>
      </c>
      <c r="E208" s="109">
        <f aca="true" t="shared" si="60" ref="E208:F208">SUM(E204)</f>
        <v>325</v>
      </c>
      <c r="F208" s="109">
        <f t="shared" si="60"/>
        <v>0</v>
      </c>
      <c r="G208" s="133">
        <f aca="true" t="shared" si="61" ref="G208">SUM(G204)</f>
        <v>0</v>
      </c>
      <c r="H208" s="115">
        <f t="shared" si="54"/>
        <v>325</v>
      </c>
      <c r="I208" s="215">
        <v>0</v>
      </c>
      <c r="J208" s="126">
        <f t="shared" si="55"/>
        <v>0</v>
      </c>
    </row>
    <row r="209" spans="1:10" ht="24.95" customHeight="1">
      <c r="A209" s="147" t="s">
        <v>92</v>
      </c>
      <c r="B209" s="333" t="s">
        <v>90</v>
      </c>
      <c r="C209" s="333"/>
      <c r="D209" s="147" t="s">
        <v>9</v>
      </c>
      <c r="E209" s="109">
        <f aca="true" t="shared" si="62" ref="E209:F209">SUM(E205)</f>
        <v>39</v>
      </c>
      <c r="F209" s="109">
        <f t="shared" si="62"/>
        <v>0</v>
      </c>
      <c r="G209" s="133">
        <f aca="true" t="shared" si="63" ref="G209">SUM(G205)</f>
        <v>0</v>
      </c>
      <c r="H209" s="115">
        <f t="shared" si="54"/>
        <v>39</v>
      </c>
      <c r="I209" s="215">
        <v>0</v>
      </c>
      <c r="J209" s="126">
        <f t="shared" si="55"/>
        <v>0</v>
      </c>
    </row>
    <row r="210" spans="1:10" ht="24.95" customHeight="1">
      <c r="A210" s="135" t="s">
        <v>175</v>
      </c>
      <c r="B210" s="318" t="s">
        <v>176</v>
      </c>
      <c r="C210" s="318"/>
      <c r="D210" s="216" t="s">
        <v>15</v>
      </c>
      <c r="E210" s="217">
        <f>(E225+E226)*0.02</f>
        <v>4.22</v>
      </c>
      <c r="F210" s="217">
        <f aca="true" t="shared" si="64" ref="F210">(F225+F226)*0.02</f>
        <v>0</v>
      </c>
      <c r="G210" s="218">
        <f>(G225+G226)*0.02</f>
        <v>21.72</v>
      </c>
      <c r="H210" s="115">
        <f t="shared" si="54"/>
        <v>25.939999999999998</v>
      </c>
      <c r="I210" s="193">
        <v>0</v>
      </c>
      <c r="J210" s="126">
        <f t="shared" si="55"/>
        <v>0</v>
      </c>
    </row>
    <row r="211" spans="1:10" ht="24.95" customHeight="1">
      <c r="A211" s="135" t="s">
        <v>28</v>
      </c>
      <c r="B211" s="335" t="s">
        <v>87</v>
      </c>
      <c r="C211" s="335"/>
      <c r="D211" s="35" t="s">
        <v>15</v>
      </c>
      <c r="E211" s="219">
        <f aca="true" t="shared" si="65" ref="E211:F211">SUM(E202*0.01+E204*0.01)</f>
        <v>5.53</v>
      </c>
      <c r="F211" s="219">
        <f t="shared" si="65"/>
        <v>0</v>
      </c>
      <c r="G211" s="220">
        <f aca="true" t="shared" si="66" ref="G211">SUM(G202*0.01+G204*0.01)</f>
        <v>32.99</v>
      </c>
      <c r="H211" s="115">
        <f t="shared" si="54"/>
        <v>38.52</v>
      </c>
      <c r="I211" s="221">
        <v>0</v>
      </c>
      <c r="J211" s="126">
        <f t="shared" si="55"/>
        <v>0</v>
      </c>
    </row>
    <row r="212" spans="1:10" ht="24.95" customHeight="1">
      <c r="A212" s="135" t="s">
        <v>28</v>
      </c>
      <c r="B212" s="335" t="s">
        <v>88</v>
      </c>
      <c r="C212" s="335"/>
      <c r="D212" s="35" t="s">
        <v>15</v>
      </c>
      <c r="E212" s="219">
        <f aca="true" t="shared" si="67" ref="E212:F212">SUM(E203*0.025+E205*0.025)</f>
        <v>1.4500000000000002</v>
      </c>
      <c r="F212" s="219">
        <f t="shared" si="67"/>
        <v>0</v>
      </c>
      <c r="G212" s="220">
        <f aca="true" t="shared" si="68" ref="G212">SUM(G203*0.025+G205*0.025)</f>
        <v>0</v>
      </c>
      <c r="H212" s="115">
        <f t="shared" si="54"/>
        <v>1.4500000000000002</v>
      </c>
      <c r="I212" s="221">
        <v>0</v>
      </c>
      <c r="J212" s="126">
        <f t="shared" si="55"/>
        <v>0</v>
      </c>
    </row>
    <row r="213" spans="1:10" ht="24.95" customHeight="1">
      <c r="A213" s="135" t="s">
        <v>28</v>
      </c>
      <c r="B213" s="368" t="s">
        <v>331</v>
      </c>
      <c r="C213" s="368"/>
      <c r="D213" s="147" t="s">
        <v>9</v>
      </c>
      <c r="E213" s="109">
        <f>SUM(E202*1+E204*1)</f>
        <v>553</v>
      </c>
      <c r="F213" s="109">
        <f>SUM(F202*1+F204*1)</f>
        <v>0</v>
      </c>
      <c r="G213" s="133">
        <f>SUM(G202*1+G204*1)</f>
        <v>3299</v>
      </c>
      <c r="H213" s="115">
        <f t="shared" si="54"/>
        <v>3852</v>
      </c>
      <c r="I213" s="215">
        <v>0</v>
      </c>
      <c r="J213" s="126">
        <f t="shared" si="55"/>
        <v>0</v>
      </c>
    </row>
    <row r="214" spans="1:10" ht="24.95" customHeight="1">
      <c r="A214" s="135" t="s">
        <v>28</v>
      </c>
      <c r="B214" s="368" t="s">
        <v>332</v>
      </c>
      <c r="C214" s="368"/>
      <c r="D214" s="147" t="s">
        <v>9</v>
      </c>
      <c r="E214" s="109">
        <f>SUM(E203*3+E205*3)</f>
        <v>174</v>
      </c>
      <c r="F214" s="109">
        <f>SUM(F203*3+F205*3)</f>
        <v>0</v>
      </c>
      <c r="G214" s="133">
        <f>SUM(G203*3+G205*3)</f>
        <v>0</v>
      </c>
      <c r="H214" s="115">
        <f t="shared" si="54"/>
        <v>174</v>
      </c>
      <c r="I214" s="215">
        <v>0</v>
      </c>
      <c r="J214" s="126">
        <f t="shared" si="55"/>
        <v>0</v>
      </c>
    </row>
    <row r="215" spans="1:10" ht="24.95" customHeight="1">
      <c r="A215" s="147" t="s">
        <v>28</v>
      </c>
      <c r="B215" s="368" t="s">
        <v>333</v>
      </c>
      <c r="C215" s="368"/>
      <c r="D215" s="147" t="s">
        <v>18</v>
      </c>
      <c r="E215" s="114">
        <f>SUM(E202*10/1000+E204*10/1000)</f>
        <v>5.529999999999999</v>
      </c>
      <c r="F215" s="114">
        <f>SUM(F202*10/1000+F204*10/1000)</f>
        <v>0</v>
      </c>
      <c r="G215" s="204">
        <f>SUM(G202*10/1000+G204*10/1000)</f>
        <v>32.99</v>
      </c>
      <c r="H215" s="115">
        <f t="shared" si="54"/>
        <v>38.52</v>
      </c>
      <c r="I215" s="215">
        <v>0</v>
      </c>
      <c r="J215" s="126">
        <f t="shared" si="55"/>
        <v>0</v>
      </c>
    </row>
    <row r="216" spans="1:10" ht="24.95" customHeight="1" thickBot="1">
      <c r="A216" s="222" t="s">
        <v>28</v>
      </c>
      <c r="B216" s="332" t="s">
        <v>334</v>
      </c>
      <c r="C216" s="332"/>
      <c r="D216" s="222" t="s">
        <v>18</v>
      </c>
      <c r="E216" s="223">
        <f>SUM(E203*20/1000+E205*20/1000)</f>
        <v>1.1600000000000001</v>
      </c>
      <c r="F216" s="223">
        <f>SUM(F203*20/1000+F205*20/1000)</f>
        <v>0</v>
      </c>
      <c r="G216" s="224">
        <f>SUM(G203*20/1000+G205*20/1000)</f>
        <v>0</v>
      </c>
      <c r="H216" s="225">
        <f t="shared" si="54"/>
        <v>1.1600000000000001</v>
      </c>
      <c r="I216" s="226">
        <v>0</v>
      </c>
      <c r="J216" s="227">
        <f t="shared" si="55"/>
        <v>0</v>
      </c>
    </row>
    <row r="217" spans="1:10" ht="24.95" customHeight="1">
      <c r="A217" s="228" t="s">
        <v>36</v>
      </c>
      <c r="B217" s="389" t="s">
        <v>24</v>
      </c>
      <c r="C217" s="389"/>
      <c r="D217" s="229" t="s">
        <v>14</v>
      </c>
      <c r="E217" s="230">
        <f aca="true" t="shared" si="69" ref="E217:F217">SUM(E219*1.05)</f>
        <v>95.55</v>
      </c>
      <c r="F217" s="230">
        <f t="shared" si="69"/>
        <v>0</v>
      </c>
      <c r="G217" s="231">
        <f aca="true" t="shared" si="70" ref="G217">SUM(G219*1.05)</f>
        <v>1140.3</v>
      </c>
      <c r="H217" s="232">
        <f t="shared" si="54"/>
        <v>1235.85</v>
      </c>
      <c r="I217" s="233">
        <v>0</v>
      </c>
      <c r="J217" s="234">
        <f>I217*H217</f>
        <v>0</v>
      </c>
    </row>
    <row r="218" spans="1:10" ht="30" customHeight="1">
      <c r="A218" s="235" t="s">
        <v>28</v>
      </c>
      <c r="B218" s="333" t="s">
        <v>362</v>
      </c>
      <c r="C218" s="333"/>
      <c r="D218" s="147" t="s">
        <v>14</v>
      </c>
      <c r="E218" s="114">
        <f>SUM(E217)</f>
        <v>95.55</v>
      </c>
      <c r="F218" s="114">
        <f aca="true" t="shared" si="71" ref="F218">SUM(F217)</f>
        <v>0</v>
      </c>
      <c r="G218" s="236">
        <f>SUM(G217)</f>
        <v>1140.3</v>
      </c>
      <c r="H218" s="115">
        <f t="shared" si="54"/>
        <v>1235.85</v>
      </c>
      <c r="I218" s="215">
        <v>0</v>
      </c>
      <c r="J218" s="237">
        <f aca="true" t="shared" si="72" ref="J218">I218*H218</f>
        <v>0</v>
      </c>
    </row>
    <row r="219" spans="1:10" ht="24.95" customHeight="1">
      <c r="A219" s="238" t="s">
        <v>29</v>
      </c>
      <c r="B219" s="392" t="s">
        <v>25</v>
      </c>
      <c r="C219" s="392"/>
      <c r="D219" s="147" t="s">
        <v>14</v>
      </c>
      <c r="E219" s="37">
        <v>91</v>
      </c>
      <c r="F219" s="109">
        <v>0</v>
      </c>
      <c r="G219" s="38">
        <v>1086</v>
      </c>
      <c r="H219" s="115">
        <f t="shared" si="54"/>
        <v>1177</v>
      </c>
      <c r="I219" s="215">
        <v>0</v>
      </c>
      <c r="J219" s="237">
        <f aca="true" t="shared" si="73" ref="J219:J224">I219*H219</f>
        <v>0</v>
      </c>
    </row>
    <row r="220" spans="1:10" ht="24.95" customHeight="1" thickBot="1">
      <c r="A220" s="239" t="s">
        <v>28</v>
      </c>
      <c r="B220" s="339" t="s">
        <v>84</v>
      </c>
      <c r="C220" s="339"/>
      <c r="D220" s="240" t="s">
        <v>15</v>
      </c>
      <c r="E220" s="241">
        <f aca="true" t="shared" si="74" ref="E220:G220">SUM(E219*0.1)</f>
        <v>9.1</v>
      </c>
      <c r="F220" s="241">
        <f t="shared" si="74"/>
        <v>0</v>
      </c>
      <c r="G220" s="242">
        <f t="shared" si="74"/>
        <v>108.60000000000001</v>
      </c>
      <c r="H220" s="243">
        <f t="shared" si="54"/>
        <v>117.7</v>
      </c>
      <c r="I220" s="244">
        <v>0</v>
      </c>
      <c r="J220" s="245">
        <f t="shared" si="73"/>
        <v>0</v>
      </c>
    </row>
    <row r="221" spans="1:10" ht="36.75" customHeight="1">
      <c r="A221" s="246" t="s">
        <v>70</v>
      </c>
      <c r="B221" s="340" t="s">
        <v>336</v>
      </c>
      <c r="C221" s="340"/>
      <c r="D221" s="247" t="s">
        <v>14</v>
      </c>
      <c r="E221" s="230">
        <f>SUM(E223*1.05)</f>
        <v>126</v>
      </c>
      <c r="F221" s="230">
        <f>SUM(F223*1.05)</f>
        <v>0</v>
      </c>
      <c r="G221" s="231">
        <f>SUM(G223*1.05)</f>
        <v>0</v>
      </c>
      <c r="H221" s="232">
        <f t="shared" si="54"/>
        <v>126</v>
      </c>
      <c r="I221" s="248">
        <v>0</v>
      </c>
      <c r="J221" s="234">
        <f t="shared" si="73"/>
        <v>0</v>
      </c>
    </row>
    <row r="222" spans="1:10" ht="24.95" customHeight="1">
      <c r="A222" s="238" t="s">
        <v>28</v>
      </c>
      <c r="B222" s="333" t="s">
        <v>362</v>
      </c>
      <c r="C222" s="333"/>
      <c r="D222" s="135" t="s">
        <v>14</v>
      </c>
      <c r="E222" s="114">
        <f aca="true" t="shared" si="75" ref="E222:F222">E221</f>
        <v>126</v>
      </c>
      <c r="F222" s="114">
        <f t="shared" si="75"/>
        <v>0</v>
      </c>
      <c r="G222" s="236">
        <v>0</v>
      </c>
      <c r="H222" s="115">
        <f t="shared" si="54"/>
        <v>126</v>
      </c>
      <c r="I222" s="193">
        <v>0</v>
      </c>
      <c r="J222" s="237">
        <f t="shared" si="73"/>
        <v>0</v>
      </c>
    </row>
    <row r="223" spans="1:10" ht="24.95" customHeight="1">
      <c r="A223" s="238" t="s">
        <v>71</v>
      </c>
      <c r="B223" s="318" t="s">
        <v>335</v>
      </c>
      <c r="C223" s="318"/>
      <c r="D223" s="135" t="s">
        <v>14</v>
      </c>
      <c r="E223" s="109">
        <v>120</v>
      </c>
      <c r="F223" s="109">
        <v>0</v>
      </c>
      <c r="G223" s="135">
        <v>0</v>
      </c>
      <c r="H223" s="115">
        <f t="shared" si="54"/>
        <v>120</v>
      </c>
      <c r="I223" s="193">
        <v>0</v>
      </c>
      <c r="J223" s="237">
        <f t="shared" si="73"/>
        <v>0</v>
      </c>
    </row>
    <row r="224" spans="1:10" ht="32.25" customHeight="1" thickBot="1">
      <c r="A224" s="239" t="s">
        <v>28</v>
      </c>
      <c r="B224" s="390" t="s">
        <v>93</v>
      </c>
      <c r="C224" s="391"/>
      <c r="D224" s="249" t="s">
        <v>14</v>
      </c>
      <c r="E224" s="250">
        <f>E222</f>
        <v>126</v>
      </c>
      <c r="F224" s="250">
        <f aca="true" t="shared" si="76" ref="F224">F222</f>
        <v>0</v>
      </c>
      <c r="G224" s="251">
        <v>0</v>
      </c>
      <c r="H224" s="243">
        <f t="shared" si="54"/>
        <v>126</v>
      </c>
      <c r="I224" s="252">
        <v>0</v>
      </c>
      <c r="J224" s="245">
        <f t="shared" si="73"/>
        <v>0</v>
      </c>
    </row>
    <row r="225" spans="1:10" s="24" customFormat="1" ht="24.95" customHeight="1">
      <c r="A225" s="253" t="s">
        <v>183</v>
      </c>
      <c r="B225" s="254" t="s">
        <v>182</v>
      </c>
      <c r="C225" s="254"/>
      <c r="D225" s="255" t="s">
        <v>14</v>
      </c>
      <c r="E225" s="256">
        <f>E219</f>
        <v>91</v>
      </c>
      <c r="F225" s="256">
        <f aca="true" t="shared" si="77" ref="F225">F219</f>
        <v>0</v>
      </c>
      <c r="G225" s="255">
        <v>1086</v>
      </c>
      <c r="H225" s="257">
        <f t="shared" si="54"/>
        <v>1177</v>
      </c>
      <c r="I225" s="258">
        <v>0</v>
      </c>
      <c r="J225" s="259">
        <f aca="true" t="shared" si="78" ref="J225:J226">H225*I225</f>
        <v>0</v>
      </c>
    </row>
    <row r="226" spans="1:10" s="24" customFormat="1" ht="24.95" customHeight="1">
      <c r="A226" s="196" t="s">
        <v>184</v>
      </c>
      <c r="B226" s="260" t="s">
        <v>185</v>
      </c>
      <c r="C226" s="260"/>
      <c r="D226" s="133" t="s">
        <v>14</v>
      </c>
      <c r="E226" s="134">
        <f>E223</f>
        <v>120</v>
      </c>
      <c r="F226" s="134">
        <f aca="true" t="shared" si="79" ref="F226">F223</f>
        <v>0</v>
      </c>
      <c r="G226" s="133">
        <f aca="true" t="shared" si="80" ref="G226">G223</f>
        <v>0</v>
      </c>
      <c r="H226" s="115">
        <f t="shared" si="54"/>
        <v>120</v>
      </c>
      <c r="I226" s="203">
        <v>0</v>
      </c>
      <c r="J226" s="200">
        <f t="shared" si="78"/>
        <v>0</v>
      </c>
    </row>
    <row r="227" spans="1:10" ht="24.95" customHeight="1">
      <c r="A227" s="147"/>
      <c r="B227" s="337" t="s">
        <v>198</v>
      </c>
      <c r="C227" s="337"/>
      <c r="D227" s="205"/>
      <c r="E227" s="206"/>
      <c r="F227" s="206"/>
      <c r="G227" s="206"/>
      <c r="H227" s="207"/>
      <c r="I227" s="208"/>
      <c r="J227" s="209">
        <f>SUM(J201:J226)</f>
        <v>0</v>
      </c>
    </row>
    <row r="228" spans="1:10" s="15" customFormat="1" ht="24.95" customHeight="1">
      <c r="A228" s="326"/>
      <c r="B228" s="327" t="s">
        <v>7</v>
      </c>
      <c r="C228" s="327"/>
      <c r="D228" s="327" t="s">
        <v>156</v>
      </c>
      <c r="E228" s="328" t="s">
        <v>97</v>
      </c>
      <c r="F228" s="328"/>
      <c r="G228" s="328"/>
      <c r="H228" s="328"/>
      <c r="I228" s="329" t="s">
        <v>4</v>
      </c>
      <c r="J228" s="330" t="s">
        <v>98</v>
      </c>
    </row>
    <row r="229" spans="1:10" s="6" customFormat="1" ht="24.95" customHeight="1">
      <c r="A229" s="326"/>
      <c r="B229" s="327"/>
      <c r="C229" s="327"/>
      <c r="D229" s="327"/>
      <c r="E229" s="158" t="s">
        <v>200</v>
      </c>
      <c r="F229" s="158" t="s">
        <v>201</v>
      </c>
      <c r="G229" s="138" t="s">
        <v>324</v>
      </c>
      <c r="H229" s="110" t="s">
        <v>8</v>
      </c>
      <c r="I229" s="329"/>
      <c r="J229" s="330"/>
    </row>
    <row r="230" spans="1:10" ht="24.95" customHeight="1">
      <c r="A230" s="147"/>
      <c r="B230" s="338" t="s">
        <v>19</v>
      </c>
      <c r="C230" s="338"/>
      <c r="D230" s="338"/>
      <c r="E230" s="338"/>
      <c r="F230" s="338"/>
      <c r="G230" s="338"/>
      <c r="H230" s="338"/>
      <c r="I230" s="338"/>
      <c r="J230" s="338"/>
    </row>
    <row r="231" spans="1:10" ht="24.95" customHeight="1">
      <c r="A231" s="147" t="s">
        <v>27</v>
      </c>
      <c r="B231" s="318" t="s">
        <v>263</v>
      </c>
      <c r="C231" s="318"/>
      <c r="D231" s="135" t="s">
        <v>9</v>
      </c>
      <c r="E231" s="134">
        <v>7</v>
      </c>
      <c r="F231" s="109">
        <v>0</v>
      </c>
      <c r="G231" s="135">
        <v>0</v>
      </c>
      <c r="H231" s="172">
        <f aca="true" t="shared" si="81" ref="H231:H256">SUM(E231:G231)</f>
        <v>7</v>
      </c>
      <c r="I231" s="262">
        <v>0</v>
      </c>
      <c r="J231" s="126">
        <f aca="true" t="shared" si="82" ref="J231">H231*I231</f>
        <v>0</v>
      </c>
    </row>
    <row r="232" spans="1:10" s="13" customFormat="1" ht="24.95" customHeight="1">
      <c r="A232" s="135" t="s">
        <v>27</v>
      </c>
      <c r="B232" s="308" t="s">
        <v>138</v>
      </c>
      <c r="C232" s="308"/>
      <c r="D232" s="135" t="s">
        <v>9</v>
      </c>
      <c r="E232" s="113">
        <f>E72+E77+7</f>
        <v>18</v>
      </c>
      <c r="F232" s="113">
        <f>F72+F77</f>
        <v>25</v>
      </c>
      <c r="G232" s="261">
        <f>G72+G77</f>
        <v>45</v>
      </c>
      <c r="H232" s="172">
        <f t="shared" si="81"/>
        <v>88</v>
      </c>
      <c r="I232" s="262">
        <v>0</v>
      </c>
      <c r="J232" s="126">
        <f aca="true" t="shared" si="83" ref="J232:J256">H232*I232</f>
        <v>0</v>
      </c>
    </row>
    <row r="233" spans="1:10" s="24" customFormat="1" ht="24.95" customHeight="1">
      <c r="A233" s="133" t="s">
        <v>186</v>
      </c>
      <c r="B233" s="336" t="s">
        <v>187</v>
      </c>
      <c r="C233" s="336"/>
      <c r="D233" s="133" t="s">
        <v>9</v>
      </c>
      <c r="E233" s="263">
        <f>E72+7</f>
        <v>18</v>
      </c>
      <c r="F233" s="263">
        <f>F72</f>
        <v>0</v>
      </c>
      <c r="G233" s="214">
        <f>G72</f>
        <v>45</v>
      </c>
      <c r="H233" s="172">
        <f t="shared" si="81"/>
        <v>63</v>
      </c>
      <c r="I233" s="203">
        <v>0</v>
      </c>
      <c r="J233" s="200">
        <f t="shared" si="83"/>
        <v>0</v>
      </c>
    </row>
    <row r="234" spans="1:10" s="24" customFormat="1" ht="24.95" customHeight="1">
      <c r="A234" s="133" t="s">
        <v>189</v>
      </c>
      <c r="B234" s="336" t="s">
        <v>188</v>
      </c>
      <c r="C234" s="336"/>
      <c r="D234" s="133" t="s">
        <v>9</v>
      </c>
      <c r="E234" s="263">
        <f>E77</f>
        <v>0</v>
      </c>
      <c r="F234" s="263">
        <f>F77</f>
        <v>25</v>
      </c>
      <c r="G234" s="214">
        <f>G77</f>
        <v>0</v>
      </c>
      <c r="H234" s="172">
        <f t="shared" si="81"/>
        <v>25</v>
      </c>
      <c r="I234" s="203">
        <v>0</v>
      </c>
      <c r="J234" s="200">
        <f t="shared" si="83"/>
        <v>0</v>
      </c>
    </row>
    <row r="235" spans="1:10" s="24" customFormat="1" ht="24.95" customHeight="1">
      <c r="A235" s="133" t="s">
        <v>191</v>
      </c>
      <c r="B235" s="336" t="s">
        <v>190</v>
      </c>
      <c r="C235" s="336"/>
      <c r="D235" s="133" t="s">
        <v>9</v>
      </c>
      <c r="E235" s="134">
        <f aca="true" t="shared" si="84" ref="E235:F235">SUM(E233)</f>
        <v>18</v>
      </c>
      <c r="F235" s="134">
        <f t="shared" si="84"/>
        <v>0</v>
      </c>
      <c r="G235" s="133">
        <f aca="true" t="shared" si="85" ref="G235">SUM(G233)</f>
        <v>45</v>
      </c>
      <c r="H235" s="172">
        <f t="shared" si="81"/>
        <v>63</v>
      </c>
      <c r="I235" s="203">
        <v>0</v>
      </c>
      <c r="J235" s="200">
        <f t="shared" si="83"/>
        <v>0</v>
      </c>
    </row>
    <row r="236" spans="1:10" s="24" customFormat="1" ht="24.95" customHeight="1">
      <c r="A236" s="133" t="s">
        <v>193</v>
      </c>
      <c r="B236" s="336" t="s">
        <v>192</v>
      </c>
      <c r="C236" s="336"/>
      <c r="D236" s="133" t="s">
        <v>9</v>
      </c>
      <c r="E236" s="134">
        <f aca="true" t="shared" si="86" ref="E236:F236">E234</f>
        <v>0</v>
      </c>
      <c r="F236" s="134">
        <f t="shared" si="86"/>
        <v>25</v>
      </c>
      <c r="G236" s="133">
        <f aca="true" t="shared" si="87" ref="G236">G234</f>
        <v>0</v>
      </c>
      <c r="H236" s="172">
        <f t="shared" si="81"/>
        <v>25</v>
      </c>
      <c r="I236" s="203">
        <v>0</v>
      </c>
      <c r="J236" s="200">
        <f>H236*I236</f>
        <v>0</v>
      </c>
    </row>
    <row r="237" spans="1:10" ht="24.95" customHeight="1">
      <c r="A237" s="135" t="s">
        <v>175</v>
      </c>
      <c r="B237" s="318" t="s">
        <v>176</v>
      </c>
      <c r="C237" s="318"/>
      <c r="D237" s="216" t="s">
        <v>15</v>
      </c>
      <c r="E237" s="113">
        <f>E232*0.08</f>
        <v>1.44</v>
      </c>
      <c r="F237" s="113">
        <f aca="true" t="shared" si="88" ref="F237">F232*0.08</f>
        <v>2</v>
      </c>
      <c r="G237" s="236">
        <f aca="true" t="shared" si="89" ref="G237">G232*0.08</f>
        <v>3.6</v>
      </c>
      <c r="H237" s="172">
        <f t="shared" si="81"/>
        <v>7.04</v>
      </c>
      <c r="I237" s="193">
        <v>0</v>
      </c>
      <c r="J237" s="126">
        <f>H237*I237</f>
        <v>0</v>
      </c>
    </row>
    <row r="238" spans="1:10" s="24" customFormat="1" ht="24.95" customHeight="1">
      <c r="A238" s="133" t="s">
        <v>28</v>
      </c>
      <c r="B238" s="373" t="s">
        <v>337</v>
      </c>
      <c r="C238" s="373"/>
      <c r="D238" s="196" t="s">
        <v>15</v>
      </c>
      <c r="E238" s="264">
        <f>E232*0.25</f>
        <v>4.5</v>
      </c>
      <c r="F238" s="264">
        <f aca="true" t="shared" si="90" ref="F238:G238">F232*0.25</f>
        <v>6.25</v>
      </c>
      <c r="G238" s="220">
        <f t="shared" si="90"/>
        <v>11.25</v>
      </c>
      <c r="H238" s="172">
        <f t="shared" si="81"/>
        <v>22</v>
      </c>
      <c r="I238" s="199">
        <v>0</v>
      </c>
      <c r="J238" s="200">
        <f aca="true" t="shared" si="91" ref="J238">H238*I238</f>
        <v>0</v>
      </c>
    </row>
    <row r="239" spans="1:10" ht="24.95" customHeight="1">
      <c r="A239" s="135" t="s">
        <v>28</v>
      </c>
      <c r="B239" s="353" t="s">
        <v>338</v>
      </c>
      <c r="C239" s="353"/>
      <c r="D239" s="135" t="s">
        <v>9</v>
      </c>
      <c r="E239" s="109">
        <f>E232*5</f>
        <v>90</v>
      </c>
      <c r="F239" s="109">
        <f>F232*5</f>
        <v>125</v>
      </c>
      <c r="G239" s="135">
        <f>G232*5</f>
        <v>225</v>
      </c>
      <c r="H239" s="265">
        <f t="shared" si="81"/>
        <v>440</v>
      </c>
      <c r="I239" s="193">
        <v>0</v>
      </c>
      <c r="J239" s="126">
        <f t="shared" si="83"/>
        <v>0</v>
      </c>
    </row>
    <row r="240" spans="1:10" ht="24.95" customHeight="1">
      <c r="A240" s="135" t="s">
        <v>28</v>
      </c>
      <c r="B240" s="318" t="s">
        <v>339</v>
      </c>
      <c r="C240" s="318"/>
      <c r="D240" s="135" t="s">
        <v>18</v>
      </c>
      <c r="E240" s="114">
        <f>SUM(E232*0.1)</f>
        <v>1.8</v>
      </c>
      <c r="F240" s="114">
        <f>SUM(F232*0.1)</f>
        <v>2.5</v>
      </c>
      <c r="G240" s="236">
        <f>SUM(G232*0.1)</f>
        <v>4.5</v>
      </c>
      <c r="H240" s="172">
        <f t="shared" si="81"/>
        <v>8.8</v>
      </c>
      <c r="I240" s="193">
        <v>0</v>
      </c>
      <c r="J240" s="126">
        <f t="shared" si="83"/>
        <v>0</v>
      </c>
    </row>
    <row r="241" spans="1:10" ht="24.95" customHeight="1">
      <c r="A241" s="135" t="s">
        <v>44</v>
      </c>
      <c r="B241" s="334" t="s">
        <v>45</v>
      </c>
      <c r="C241" s="334"/>
      <c r="D241" s="132" t="s">
        <v>9</v>
      </c>
      <c r="E241" s="171">
        <f>E232</f>
        <v>18</v>
      </c>
      <c r="F241" s="171">
        <f>F232</f>
        <v>25</v>
      </c>
      <c r="G241" s="132">
        <f>G232</f>
        <v>45</v>
      </c>
      <c r="H241" s="172">
        <f t="shared" si="81"/>
        <v>88</v>
      </c>
      <c r="I241" s="193">
        <v>0</v>
      </c>
      <c r="J241" s="126">
        <f t="shared" si="83"/>
        <v>0</v>
      </c>
    </row>
    <row r="242" spans="1:10" ht="24.95" customHeight="1">
      <c r="A242" s="135" t="s">
        <v>28</v>
      </c>
      <c r="B242" s="334" t="s">
        <v>47</v>
      </c>
      <c r="C242" s="334"/>
      <c r="D242" s="132" t="s">
        <v>9</v>
      </c>
      <c r="E242" s="171">
        <f>E232*3</f>
        <v>54</v>
      </c>
      <c r="F242" s="171">
        <f>F232*3</f>
        <v>75</v>
      </c>
      <c r="G242" s="132">
        <f>G232*3</f>
        <v>135</v>
      </c>
      <c r="H242" s="172">
        <f t="shared" si="81"/>
        <v>264</v>
      </c>
      <c r="I242" s="193">
        <v>0</v>
      </c>
      <c r="J242" s="126">
        <f t="shared" si="83"/>
        <v>0</v>
      </c>
    </row>
    <row r="243" spans="1:10" s="5" customFormat="1" ht="24.95" customHeight="1">
      <c r="A243" s="135" t="s">
        <v>28</v>
      </c>
      <c r="B243" s="308" t="s">
        <v>48</v>
      </c>
      <c r="C243" s="308"/>
      <c r="D243" s="135" t="s">
        <v>9</v>
      </c>
      <c r="E243" s="171">
        <f>E232*3</f>
        <v>54</v>
      </c>
      <c r="F243" s="171">
        <f>F232*3</f>
        <v>75</v>
      </c>
      <c r="G243" s="132">
        <f>G232*3</f>
        <v>135</v>
      </c>
      <c r="H243" s="172">
        <f t="shared" si="81"/>
        <v>264</v>
      </c>
      <c r="I243" s="193">
        <v>0</v>
      </c>
      <c r="J243" s="126">
        <f t="shared" si="83"/>
        <v>0</v>
      </c>
    </row>
    <row r="244" spans="1:10" s="5" customFormat="1" ht="24.95" customHeight="1">
      <c r="A244" s="135" t="s">
        <v>28</v>
      </c>
      <c r="B244" s="308" t="s">
        <v>49</v>
      </c>
      <c r="C244" s="308"/>
      <c r="D244" s="135" t="s">
        <v>9</v>
      </c>
      <c r="E244" s="171">
        <f>E232*3</f>
        <v>54</v>
      </c>
      <c r="F244" s="171">
        <f>F232*3</f>
        <v>75</v>
      </c>
      <c r="G244" s="132">
        <f>G232*3</f>
        <v>135</v>
      </c>
      <c r="H244" s="172">
        <f t="shared" si="81"/>
        <v>264</v>
      </c>
      <c r="I244" s="193">
        <v>0</v>
      </c>
      <c r="J244" s="126">
        <f t="shared" si="83"/>
        <v>0</v>
      </c>
    </row>
    <row r="245" spans="1:11" ht="30" customHeight="1">
      <c r="A245" s="266" t="s">
        <v>27</v>
      </c>
      <c r="B245" s="372" t="s">
        <v>280</v>
      </c>
      <c r="C245" s="372"/>
      <c r="D245" s="133" t="s">
        <v>9</v>
      </c>
      <c r="E245" s="113">
        <f>SUM(E232)</f>
        <v>18</v>
      </c>
      <c r="F245" s="113">
        <f>SUM(F232)</f>
        <v>25</v>
      </c>
      <c r="G245" s="261">
        <f>SUM(G232)</f>
        <v>45</v>
      </c>
      <c r="H245" s="172">
        <f t="shared" si="81"/>
        <v>88</v>
      </c>
      <c r="I245" s="193">
        <v>0</v>
      </c>
      <c r="J245" s="126">
        <f t="shared" si="83"/>
        <v>0</v>
      </c>
      <c r="K245" s="1"/>
    </row>
    <row r="246" spans="1:11" ht="30" customHeight="1">
      <c r="A246" s="266" t="s">
        <v>28</v>
      </c>
      <c r="B246" s="372" t="s">
        <v>281</v>
      </c>
      <c r="C246" s="372"/>
      <c r="D246" s="133" t="s">
        <v>9</v>
      </c>
      <c r="E246" s="113">
        <f>SUM(E232)</f>
        <v>18</v>
      </c>
      <c r="F246" s="113">
        <f>SUM(F232)</f>
        <v>25</v>
      </c>
      <c r="G246" s="261">
        <f>SUM(G232)</f>
        <v>45</v>
      </c>
      <c r="H246" s="172">
        <f t="shared" si="81"/>
        <v>88</v>
      </c>
      <c r="I246" s="193">
        <v>0</v>
      </c>
      <c r="J246" s="126">
        <f t="shared" si="83"/>
        <v>0</v>
      </c>
      <c r="K246" s="1"/>
    </row>
    <row r="247" spans="1:10" ht="24.95" customHeight="1">
      <c r="A247" s="135" t="s">
        <v>30</v>
      </c>
      <c r="B247" s="307" t="s">
        <v>26</v>
      </c>
      <c r="C247" s="307"/>
      <c r="D247" s="135" t="s">
        <v>14</v>
      </c>
      <c r="E247" s="114">
        <f>SUM(E232)</f>
        <v>18</v>
      </c>
      <c r="F247" s="114">
        <f>SUM(F232)</f>
        <v>25</v>
      </c>
      <c r="G247" s="236">
        <f>SUM(G232)</f>
        <v>45</v>
      </c>
      <c r="H247" s="172">
        <f t="shared" si="81"/>
        <v>88</v>
      </c>
      <c r="I247" s="193">
        <v>0</v>
      </c>
      <c r="J247" s="126">
        <f t="shared" si="83"/>
        <v>0</v>
      </c>
    </row>
    <row r="248" spans="1:10" ht="24.95" customHeight="1">
      <c r="A248" s="135" t="s">
        <v>28</v>
      </c>
      <c r="B248" s="307" t="s">
        <v>50</v>
      </c>
      <c r="C248" s="307"/>
      <c r="D248" s="135" t="s">
        <v>14</v>
      </c>
      <c r="E248" s="114">
        <f aca="true" t="shared" si="92" ref="E248:F248">SUM(E247)</f>
        <v>18</v>
      </c>
      <c r="F248" s="114">
        <f t="shared" si="92"/>
        <v>25</v>
      </c>
      <c r="G248" s="236">
        <f aca="true" t="shared" si="93" ref="G248">SUM(G247)</f>
        <v>45</v>
      </c>
      <c r="H248" s="172">
        <f t="shared" si="81"/>
        <v>88</v>
      </c>
      <c r="I248" s="193">
        <v>0</v>
      </c>
      <c r="J248" s="126">
        <f t="shared" si="83"/>
        <v>0</v>
      </c>
    </row>
    <row r="249" spans="1:10" ht="24.95" customHeight="1">
      <c r="A249" s="135" t="s">
        <v>96</v>
      </c>
      <c r="B249" s="307" t="s">
        <v>95</v>
      </c>
      <c r="C249" s="307"/>
      <c r="D249" s="135" t="s">
        <v>14</v>
      </c>
      <c r="E249" s="114">
        <v>0</v>
      </c>
      <c r="F249" s="114">
        <f>F232</f>
        <v>25</v>
      </c>
      <c r="G249" s="236">
        <v>0</v>
      </c>
      <c r="H249" s="172">
        <f t="shared" si="81"/>
        <v>25</v>
      </c>
      <c r="I249" s="193">
        <v>0</v>
      </c>
      <c r="J249" s="126">
        <f t="shared" si="83"/>
        <v>0</v>
      </c>
    </row>
    <row r="250" spans="1:10" s="7" customFormat="1" ht="24.95" customHeight="1">
      <c r="A250" s="135" t="s">
        <v>28</v>
      </c>
      <c r="B250" s="318" t="s">
        <v>94</v>
      </c>
      <c r="C250" s="318"/>
      <c r="D250" s="135" t="s">
        <v>9</v>
      </c>
      <c r="E250" s="109">
        <v>0</v>
      </c>
      <c r="F250" s="113">
        <f>F232</f>
        <v>25</v>
      </c>
      <c r="G250" s="135">
        <v>0</v>
      </c>
      <c r="H250" s="172">
        <f t="shared" si="81"/>
        <v>25</v>
      </c>
      <c r="I250" s="193">
        <v>0</v>
      </c>
      <c r="J250" s="126">
        <f t="shared" si="83"/>
        <v>0</v>
      </c>
    </row>
    <row r="251" spans="1:10" ht="24.95" customHeight="1">
      <c r="A251" s="135" t="s">
        <v>53</v>
      </c>
      <c r="B251" s="345" t="s">
        <v>54</v>
      </c>
      <c r="C251" s="347"/>
      <c r="D251" s="135" t="s">
        <v>9</v>
      </c>
      <c r="E251" s="109">
        <v>18</v>
      </c>
      <c r="F251" s="109">
        <f aca="true" t="shared" si="94" ref="F251:F252">SUM(F233)</f>
        <v>0</v>
      </c>
      <c r="G251" s="135">
        <v>45</v>
      </c>
      <c r="H251" s="172">
        <f t="shared" si="81"/>
        <v>63</v>
      </c>
      <c r="I251" s="193">
        <v>0</v>
      </c>
      <c r="J251" s="126">
        <f t="shared" si="83"/>
        <v>0</v>
      </c>
    </row>
    <row r="252" spans="1:10" ht="30.75" customHeight="1">
      <c r="A252" s="135" t="s">
        <v>139</v>
      </c>
      <c r="B252" s="319" t="s">
        <v>140</v>
      </c>
      <c r="C252" s="320"/>
      <c r="D252" s="135" t="s">
        <v>9</v>
      </c>
      <c r="E252" s="109">
        <f>SUM(E234)</f>
        <v>0</v>
      </c>
      <c r="F252" s="109">
        <f t="shared" si="94"/>
        <v>25</v>
      </c>
      <c r="G252" s="135">
        <f>SUM(G234)</f>
        <v>0</v>
      </c>
      <c r="H252" s="172">
        <f t="shared" si="81"/>
        <v>25</v>
      </c>
      <c r="I252" s="193">
        <v>0</v>
      </c>
      <c r="J252" s="126">
        <f t="shared" si="83"/>
        <v>0</v>
      </c>
    </row>
    <row r="253" spans="1:10" ht="24.95" customHeight="1">
      <c r="A253" s="135" t="s">
        <v>28</v>
      </c>
      <c r="B253" s="307" t="s">
        <v>174</v>
      </c>
      <c r="C253" s="307"/>
      <c r="D253" s="135" t="s">
        <v>15</v>
      </c>
      <c r="E253" s="217">
        <f aca="true" t="shared" si="95" ref="E253:F253">SUM((E251+E252)*0.1)</f>
        <v>1.8</v>
      </c>
      <c r="F253" s="217">
        <f t="shared" si="95"/>
        <v>2.5</v>
      </c>
      <c r="G253" s="269">
        <f aca="true" t="shared" si="96" ref="G253">SUM((G251+G252)*0.1)</f>
        <v>4.5</v>
      </c>
      <c r="H253" s="172">
        <f t="shared" si="81"/>
        <v>8.8</v>
      </c>
      <c r="I253" s="193">
        <v>0</v>
      </c>
      <c r="J253" s="126">
        <f t="shared" si="83"/>
        <v>0</v>
      </c>
    </row>
    <row r="254" spans="1:10" s="13" customFormat="1" ht="24.95" customHeight="1">
      <c r="A254" s="35" t="s">
        <v>27</v>
      </c>
      <c r="B254" s="307" t="s">
        <v>194</v>
      </c>
      <c r="C254" s="307"/>
      <c r="D254" s="135" t="s">
        <v>9</v>
      </c>
      <c r="E254" s="171">
        <f>SUM(E232)</f>
        <v>18</v>
      </c>
      <c r="F254" s="171">
        <f>SUM(F232)</f>
        <v>25</v>
      </c>
      <c r="G254" s="132">
        <f>SUM(G232)</f>
        <v>45</v>
      </c>
      <c r="H254" s="172">
        <f t="shared" si="81"/>
        <v>88</v>
      </c>
      <c r="I254" s="193">
        <v>0</v>
      </c>
      <c r="J254" s="173">
        <f t="shared" si="83"/>
        <v>0</v>
      </c>
    </row>
    <row r="255" spans="1:10" s="24" customFormat="1" ht="24.95" customHeight="1">
      <c r="A255" s="196" t="s">
        <v>179</v>
      </c>
      <c r="B255" s="260" t="s">
        <v>178</v>
      </c>
      <c r="C255" s="260"/>
      <c r="D255" s="133" t="s">
        <v>9</v>
      </c>
      <c r="E255" s="134">
        <f aca="true" t="shared" si="97" ref="E255:G256">E233</f>
        <v>18</v>
      </c>
      <c r="F255" s="134">
        <f t="shared" si="97"/>
        <v>0</v>
      </c>
      <c r="G255" s="133">
        <f t="shared" si="97"/>
        <v>45</v>
      </c>
      <c r="H255" s="172">
        <f t="shared" si="81"/>
        <v>63</v>
      </c>
      <c r="I255" s="203">
        <v>0</v>
      </c>
      <c r="J255" s="200">
        <f t="shared" si="83"/>
        <v>0</v>
      </c>
    </row>
    <row r="256" spans="1:10" s="24" customFormat="1" ht="24.95" customHeight="1">
      <c r="A256" s="196" t="s">
        <v>181</v>
      </c>
      <c r="B256" s="260" t="s">
        <v>180</v>
      </c>
      <c r="C256" s="260"/>
      <c r="D256" s="133" t="s">
        <v>9</v>
      </c>
      <c r="E256" s="134">
        <f t="shared" si="97"/>
        <v>0</v>
      </c>
      <c r="F256" s="134">
        <f t="shared" si="97"/>
        <v>25</v>
      </c>
      <c r="G256" s="133">
        <f t="shared" si="97"/>
        <v>0</v>
      </c>
      <c r="H256" s="172">
        <f t="shared" si="81"/>
        <v>25</v>
      </c>
      <c r="I256" s="203">
        <v>0</v>
      </c>
      <c r="J256" s="200">
        <f t="shared" si="83"/>
        <v>0</v>
      </c>
    </row>
    <row r="257" spans="1:10" ht="24.95" customHeight="1">
      <c r="A257" s="147"/>
      <c r="B257" s="363" t="s">
        <v>311</v>
      </c>
      <c r="C257" s="363"/>
      <c r="D257" s="270"/>
      <c r="E257" s="271"/>
      <c r="F257" s="271"/>
      <c r="G257" s="271"/>
      <c r="H257" s="272"/>
      <c r="I257" s="273"/>
      <c r="J257" s="274">
        <f>SUM(J231:J256)</f>
        <v>0</v>
      </c>
    </row>
    <row r="258" spans="1:10" s="15" customFormat="1" ht="24.95" customHeight="1">
      <c r="A258" s="326"/>
      <c r="B258" s="327" t="s">
        <v>7</v>
      </c>
      <c r="C258" s="327"/>
      <c r="D258" s="327" t="s">
        <v>156</v>
      </c>
      <c r="E258" s="328" t="s">
        <v>97</v>
      </c>
      <c r="F258" s="328"/>
      <c r="G258" s="328"/>
      <c r="H258" s="328"/>
      <c r="I258" s="329" t="s">
        <v>4</v>
      </c>
      <c r="J258" s="330" t="s">
        <v>98</v>
      </c>
    </row>
    <row r="259" spans="1:10" s="6" customFormat="1" ht="24.95" customHeight="1">
      <c r="A259" s="326"/>
      <c r="B259" s="327"/>
      <c r="C259" s="327"/>
      <c r="D259" s="327"/>
      <c r="E259" s="158" t="s">
        <v>200</v>
      </c>
      <c r="F259" s="158" t="s">
        <v>201</v>
      </c>
      <c r="G259" s="138" t="s">
        <v>324</v>
      </c>
      <c r="H259" s="110" t="s">
        <v>8</v>
      </c>
      <c r="I259" s="329"/>
      <c r="J259" s="330"/>
    </row>
    <row r="260" spans="1:10" ht="24.95" customHeight="1">
      <c r="A260" s="147"/>
      <c r="B260" s="338" t="s">
        <v>20</v>
      </c>
      <c r="C260" s="338"/>
      <c r="D260" s="338"/>
      <c r="E260" s="338"/>
      <c r="F260" s="338"/>
      <c r="G260" s="338"/>
      <c r="H260" s="338"/>
      <c r="I260" s="338"/>
      <c r="J260" s="338"/>
    </row>
    <row r="261" spans="1:10" ht="24.95" customHeight="1">
      <c r="A261" s="135" t="s">
        <v>46</v>
      </c>
      <c r="B261" s="353" t="s">
        <v>32</v>
      </c>
      <c r="C261" s="365"/>
      <c r="D261" s="135" t="s">
        <v>14</v>
      </c>
      <c r="E261" s="114">
        <v>160</v>
      </c>
      <c r="F261" s="114">
        <v>1585</v>
      </c>
      <c r="G261" s="114">
        <v>0</v>
      </c>
      <c r="H261" s="115">
        <f aca="true" t="shared" si="98" ref="H261:H276">SUM(E261:G261)</f>
        <v>1745</v>
      </c>
      <c r="I261" s="193">
        <v>0</v>
      </c>
      <c r="J261" s="126">
        <f aca="true" t="shared" si="99" ref="J261:J276">I261*H261</f>
        <v>0</v>
      </c>
    </row>
    <row r="262" spans="1:10" ht="24.95" customHeight="1">
      <c r="A262" s="147" t="s">
        <v>28</v>
      </c>
      <c r="B262" s="368" t="s">
        <v>123</v>
      </c>
      <c r="C262" s="368"/>
      <c r="D262" s="147" t="s">
        <v>41</v>
      </c>
      <c r="E262" s="275">
        <f aca="true" t="shared" si="100" ref="E262:F262">SUM(E261*0.0008)</f>
        <v>0.128</v>
      </c>
      <c r="F262" s="275">
        <f t="shared" si="100"/>
        <v>1.268</v>
      </c>
      <c r="G262" s="275">
        <f aca="true" t="shared" si="101" ref="G262">SUM(G261*0.0008)</f>
        <v>0</v>
      </c>
      <c r="H262" s="115">
        <f t="shared" si="98"/>
        <v>1.396</v>
      </c>
      <c r="I262" s="215">
        <v>0</v>
      </c>
      <c r="J262" s="126">
        <f t="shared" si="99"/>
        <v>0</v>
      </c>
    </row>
    <row r="263" spans="1:10" ht="24.95" customHeight="1">
      <c r="A263" s="147" t="s">
        <v>58</v>
      </c>
      <c r="B263" s="353" t="s">
        <v>82</v>
      </c>
      <c r="C263" s="353"/>
      <c r="D263" s="135" t="s">
        <v>14</v>
      </c>
      <c r="E263" s="114">
        <f aca="true" t="shared" si="102" ref="E263:F263">SUM(E261)</f>
        <v>160</v>
      </c>
      <c r="F263" s="114">
        <f t="shared" si="102"/>
        <v>1585</v>
      </c>
      <c r="G263" s="114">
        <f aca="true" t="shared" si="103" ref="G263">SUM(G261)</f>
        <v>0</v>
      </c>
      <c r="H263" s="115">
        <f t="shared" si="98"/>
        <v>1745</v>
      </c>
      <c r="I263" s="193">
        <v>0</v>
      </c>
      <c r="J263" s="126">
        <f t="shared" si="99"/>
        <v>0</v>
      </c>
    </row>
    <row r="264" spans="1:10" ht="24.95" customHeight="1">
      <c r="A264" s="135" t="s">
        <v>74</v>
      </c>
      <c r="B264" s="318" t="s">
        <v>75</v>
      </c>
      <c r="C264" s="318"/>
      <c r="D264" s="135" t="s">
        <v>14</v>
      </c>
      <c r="E264" s="114">
        <f>SUM(E261)</f>
        <v>160</v>
      </c>
      <c r="F264" s="114">
        <f>SUM(F261)</f>
        <v>1585</v>
      </c>
      <c r="G264" s="114">
        <f aca="true" t="shared" si="104" ref="G264">SUM(G261)</f>
        <v>0</v>
      </c>
      <c r="H264" s="115">
        <f t="shared" si="98"/>
        <v>1745</v>
      </c>
      <c r="I264" s="193">
        <v>0</v>
      </c>
      <c r="J264" s="126">
        <f t="shared" si="99"/>
        <v>0</v>
      </c>
    </row>
    <row r="265" spans="1:10" ht="24.95" customHeight="1">
      <c r="A265" s="135" t="s">
        <v>33</v>
      </c>
      <c r="B265" s="318" t="s">
        <v>59</v>
      </c>
      <c r="C265" s="318"/>
      <c r="D265" s="135" t="s">
        <v>14</v>
      </c>
      <c r="E265" s="114">
        <f>SUM(E261)</f>
        <v>160</v>
      </c>
      <c r="F265" s="114">
        <f>SUM(F261)</f>
        <v>1585</v>
      </c>
      <c r="G265" s="114">
        <f aca="true" t="shared" si="105" ref="G265">SUM(G261)</f>
        <v>0</v>
      </c>
      <c r="H265" s="115">
        <f t="shared" si="98"/>
        <v>1745</v>
      </c>
      <c r="I265" s="193">
        <v>0</v>
      </c>
      <c r="J265" s="126">
        <f t="shared" si="99"/>
        <v>0</v>
      </c>
    </row>
    <row r="266" spans="1:10" ht="24.95" customHeight="1">
      <c r="A266" s="147" t="s">
        <v>73</v>
      </c>
      <c r="B266" s="353" t="s">
        <v>141</v>
      </c>
      <c r="C266" s="353"/>
      <c r="D266" s="135" t="s">
        <v>15</v>
      </c>
      <c r="E266" s="217">
        <f>0.01*E261</f>
        <v>1.6</v>
      </c>
      <c r="F266" s="217">
        <f>0.01*F261</f>
        <v>15.85</v>
      </c>
      <c r="G266" s="217">
        <f aca="true" t="shared" si="106" ref="G266">0.01*G261</f>
        <v>0</v>
      </c>
      <c r="H266" s="115">
        <f t="shared" si="98"/>
        <v>17.45</v>
      </c>
      <c r="I266" s="193">
        <v>0</v>
      </c>
      <c r="J266" s="126">
        <f t="shared" si="99"/>
        <v>0</v>
      </c>
    </row>
    <row r="267" spans="1:10" ht="36.75" customHeight="1">
      <c r="A267" s="135" t="s">
        <v>28</v>
      </c>
      <c r="B267" s="348" t="s">
        <v>264</v>
      </c>
      <c r="C267" s="349"/>
      <c r="D267" s="211" t="s">
        <v>15</v>
      </c>
      <c r="E267" s="217">
        <f>SUM(E261*0.05*1.2)</f>
        <v>9.6</v>
      </c>
      <c r="F267" s="217">
        <f>SUM(F261*0.05*1.2)</f>
        <v>95.1</v>
      </c>
      <c r="G267" s="217">
        <f aca="true" t="shared" si="107" ref="G267">SUM(G261*0.05*1.2)</f>
        <v>0</v>
      </c>
      <c r="H267" s="115">
        <f t="shared" si="98"/>
        <v>104.69999999999999</v>
      </c>
      <c r="I267" s="221">
        <v>0</v>
      </c>
      <c r="J267" s="126">
        <f t="shared" si="99"/>
        <v>0</v>
      </c>
    </row>
    <row r="268" spans="1:10" ht="24.95" customHeight="1">
      <c r="A268" s="135" t="s">
        <v>27</v>
      </c>
      <c r="B268" s="366" t="s">
        <v>76</v>
      </c>
      <c r="C268" s="366"/>
      <c r="D268" s="38" t="s">
        <v>15</v>
      </c>
      <c r="E268" s="217">
        <f aca="true" t="shared" si="108" ref="E268:F268">SUM(E267)</f>
        <v>9.6</v>
      </c>
      <c r="F268" s="217">
        <f t="shared" si="108"/>
        <v>95.1</v>
      </c>
      <c r="G268" s="217">
        <f aca="true" t="shared" si="109" ref="G268">SUM(G267)</f>
        <v>0</v>
      </c>
      <c r="H268" s="115">
        <f t="shared" si="98"/>
        <v>104.69999999999999</v>
      </c>
      <c r="I268" s="276">
        <v>0</v>
      </c>
      <c r="J268" s="126">
        <f t="shared" si="99"/>
        <v>0</v>
      </c>
    </row>
    <row r="269" spans="1:10" ht="24.95" customHeight="1">
      <c r="A269" s="35" t="s">
        <v>77</v>
      </c>
      <c r="B269" s="365" t="s">
        <v>78</v>
      </c>
      <c r="C269" s="365"/>
      <c r="D269" s="35" t="s">
        <v>14</v>
      </c>
      <c r="E269" s="114">
        <f aca="true" t="shared" si="110" ref="E269:F269">SUM(E261)</f>
        <v>160</v>
      </c>
      <c r="F269" s="114">
        <f t="shared" si="110"/>
        <v>1585</v>
      </c>
      <c r="G269" s="114">
        <f aca="true" t="shared" si="111" ref="G269">SUM(G261)</f>
        <v>0</v>
      </c>
      <c r="H269" s="115">
        <f t="shared" si="98"/>
        <v>1745</v>
      </c>
      <c r="I269" s="221">
        <v>0</v>
      </c>
      <c r="J269" s="126">
        <f t="shared" si="99"/>
        <v>0</v>
      </c>
    </row>
    <row r="270" spans="1:10" ht="24.95" customHeight="1">
      <c r="A270" s="135" t="s">
        <v>33</v>
      </c>
      <c r="B270" s="318" t="s">
        <v>59</v>
      </c>
      <c r="C270" s="318"/>
      <c r="D270" s="135" t="s">
        <v>14</v>
      </c>
      <c r="E270" s="114">
        <f aca="true" t="shared" si="112" ref="E270:F270">SUM(E261)</f>
        <v>160</v>
      </c>
      <c r="F270" s="114">
        <f t="shared" si="112"/>
        <v>1585</v>
      </c>
      <c r="G270" s="114">
        <f aca="true" t="shared" si="113" ref="G270">SUM(G261)</f>
        <v>0</v>
      </c>
      <c r="H270" s="115">
        <f t="shared" si="98"/>
        <v>1745</v>
      </c>
      <c r="I270" s="193">
        <v>0</v>
      </c>
      <c r="J270" s="126">
        <f t="shared" si="99"/>
        <v>0</v>
      </c>
    </row>
    <row r="271" spans="1:10" ht="24.95" customHeight="1">
      <c r="A271" s="210" t="s">
        <v>118</v>
      </c>
      <c r="B271" s="308" t="s">
        <v>117</v>
      </c>
      <c r="C271" s="308"/>
      <c r="D271" s="210" t="s">
        <v>14</v>
      </c>
      <c r="E271" s="277">
        <f aca="true" t="shared" si="114" ref="E271:F271">SUM(E261)</f>
        <v>160</v>
      </c>
      <c r="F271" s="277">
        <f t="shared" si="114"/>
        <v>1585</v>
      </c>
      <c r="G271" s="277">
        <f aca="true" t="shared" si="115" ref="G271">SUM(G261)</f>
        <v>0</v>
      </c>
      <c r="H271" s="115">
        <f t="shared" si="98"/>
        <v>1745</v>
      </c>
      <c r="I271" s="278">
        <v>0</v>
      </c>
      <c r="J271" s="126">
        <f t="shared" si="99"/>
        <v>0</v>
      </c>
    </row>
    <row r="272" spans="1:10" ht="24.95" customHeight="1">
      <c r="A272" s="135" t="s">
        <v>28</v>
      </c>
      <c r="B272" s="308" t="s">
        <v>85</v>
      </c>
      <c r="C272" s="308"/>
      <c r="D272" s="135" t="s">
        <v>18</v>
      </c>
      <c r="E272" s="275">
        <f aca="true" t="shared" si="116" ref="E272:F272">SUM(E271*250/10000)</f>
        <v>4</v>
      </c>
      <c r="F272" s="275">
        <f t="shared" si="116"/>
        <v>39.625</v>
      </c>
      <c r="G272" s="275">
        <f aca="true" t="shared" si="117" ref="G272">SUM(G271*250/10000)</f>
        <v>0</v>
      </c>
      <c r="H272" s="115">
        <f t="shared" si="98"/>
        <v>43.625</v>
      </c>
      <c r="I272" s="193">
        <v>0</v>
      </c>
      <c r="J272" s="126">
        <f t="shared" si="99"/>
        <v>0</v>
      </c>
    </row>
    <row r="273" spans="1:10" ht="24.95" customHeight="1">
      <c r="A273" s="135" t="s">
        <v>31</v>
      </c>
      <c r="B273" s="307" t="s">
        <v>22</v>
      </c>
      <c r="C273" s="307"/>
      <c r="D273" s="135" t="s">
        <v>23</v>
      </c>
      <c r="E273" s="279">
        <f aca="true" t="shared" si="118" ref="E273:G273">SUM(E274*0.001)</f>
        <v>0.0048</v>
      </c>
      <c r="F273" s="279">
        <f t="shared" si="118"/>
        <v>0.047549999999999995</v>
      </c>
      <c r="G273" s="279">
        <f t="shared" si="118"/>
        <v>0</v>
      </c>
      <c r="H273" s="115">
        <f t="shared" si="98"/>
        <v>0.052349999999999994</v>
      </c>
      <c r="I273" s="160">
        <v>0</v>
      </c>
      <c r="J273" s="126">
        <f t="shared" si="99"/>
        <v>0</v>
      </c>
    </row>
    <row r="274" spans="1:10" ht="24.95" customHeight="1">
      <c r="A274" s="210" t="s">
        <v>28</v>
      </c>
      <c r="B274" s="308" t="s">
        <v>86</v>
      </c>
      <c r="C274" s="308"/>
      <c r="D274" s="210" t="s">
        <v>18</v>
      </c>
      <c r="E274" s="277">
        <f aca="true" t="shared" si="119" ref="E274:F274">SUM(E271*0.03)</f>
        <v>4.8</v>
      </c>
      <c r="F274" s="277">
        <f t="shared" si="119"/>
        <v>47.55</v>
      </c>
      <c r="G274" s="277">
        <f aca="true" t="shared" si="120" ref="G274">SUM(G271*0.03)</f>
        <v>0</v>
      </c>
      <c r="H274" s="115">
        <f t="shared" si="98"/>
        <v>52.349999999999994</v>
      </c>
      <c r="I274" s="278">
        <v>0</v>
      </c>
      <c r="J274" s="126">
        <f t="shared" si="99"/>
        <v>0</v>
      </c>
    </row>
    <row r="275" spans="1:10" ht="24.95" customHeight="1">
      <c r="A275" s="210" t="s">
        <v>57</v>
      </c>
      <c r="B275" s="353" t="s">
        <v>79</v>
      </c>
      <c r="C275" s="353"/>
      <c r="D275" s="210" t="s">
        <v>14</v>
      </c>
      <c r="E275" s="277">
        <f aca="true" t="shared" si="121" ref="E275:F275">SUM(E271*3)</f>
        <v>480</v>
      </c>
      <c r="F275" s="277">
        <f t="shared" si="121"/>
        <v>4755</v>
      </c>
      <c r="G275" s="277">
        <f aca="true" t="shared" si="122" ref="G275">SUM(G271*3)</f>
        <v>0</v>
      </c>
      <c r="H275" s="115">
        <f t="shared" si="98"/>
        <v>5235</v>
      </c>
      <c r="I275" s="278">
        <v>0</v>
      </c>
      <c r="J275" s="126">
        <f t="shared" si="99"/>
        <v>0</v>
      </c>
    </row>
    <row r="276" spans="1:10" s="24" customFormat="1" ht="24.95" customHeight="1">
      <c r="A276" s="133" t="s">
        <v>27</v>
      </c>
      <c r="B276" s="341" t="s">
        <v>316</v>
      </c>
      <c r="C276" s="341"/>
      <c r="D276" s="133" t="s">
        <v>23</v>
      </c>
      <c r="E276" s="280">
        <f>E261*0.01</f>
        <v>1.6</v>
      </c>
      <c r="F276" s="280">
        <f aca="true" t="shared" si="123" ref="F276:G276">F261*0.01</f>
        <v>15.85</v>
      </c>
      <c r="G276" s="280">
        <f t="shared" si="123"/>
        <v>0</v>
      </c>
      <c r="H276" s="115">
        <f t="shared" si="98"/>
        <v>17.45</v>
      </c>
      <c r="I276" s="203">
        <v>0</v>
      </c>
      <c r="J276" s="200">
        <f t="shared" si="99"/>
        <v>0</v>
      </c>
    </row>
    <row r="277" spans="1:10" ht="24.95" customHeight="1">
      <c r="A277" s="161"/>
      <c r="B277" s="363" t="s">
        <v>21</v>
      </c>
      <c r="C277" s="363"/>
      <c r="D277" s="270"/>
      <c r="E277" s="271"/>
      <c r="F277" s="271"/>
      <c r="G277" s="271"/>
      <c r="H277" s="272"/>
      <c r="I277" s="273"/>
      <c r="J277" s="274">
        <f>SUM(J261:J276)</f>
        <v>0</v>
      </c>
    </row>
    <row r="278" spans="1:10" s="15" customFormat="1" ht="24.95" customHeight="1">
      <c r="A278" s="326"/>
      <c r="B278" s="327" t="s">
        <v>7</v>
      </c>
      <c r="C278" s="327"/>
      <c r="D278" s="327" t="s">
        <v>156</v>
      </c>
      <c r="E278" s="328" t="s">
        <v>97</v>
      </c>
      <c r="F278" s="328"/>
      <c r="G278" s="328"/>
      <c r="H278" s="328"/>
      <c r="I278" s="329" t="s">
        <v>4</v>
      </c>
      <c r="J278" s="330" t="s">
        <v>98</v>
      </c>
    </row>
    <row r="279" spans="1:10" s="6" customFormat="1" ht="24.95" customHeight="1">
      <c r="A279" s="326"/>
      <c r="B279" s="327"/>
      <c r="C279" s="327"/>
      <c r="D279" s="327"/>
      <c r="E279" s="158" t="s">
        <v>200</v>
      </c>
      <c r="F279" s="158" t="s">
        <v>201</v>
      </c>
      <c r="G279" s="138" t="s">
        <v>324</v>
      </c>
      <c r="H279" s="110" t="s">
        <v>8</v>
      </c>
      <c r="I279" s="329"/>
      <c r="J279" s="330"/>
    </row>
    <row r="280" spans="1:10" ht="24.95" customHeight="1">
      <c r="A280" s="161"/>
      <c r="B280" s="338" t="s">
        <v>136</v>
      </c>
      <c r="C280" s="338"/>
      <c r="D280" s="338"/>
      <c r="E280" s="338"/>
      <c r="F280" s="338"/>
      <c r="G280" s="338"/>
      <c r="H280" s="338"/>
      <c r="I280" s="338"/>
      <c r="J280" s="338"/>
    </row>
    <row r="281" spans="1:10" ht="24.95" customHeight="1">
      <c r="A281" s="135" t="s">
        <v>46</v>
      </c>
      <c r="B281" s="353" t="s">
        <v>32</v>
      </c>
      <c r="C281" s="365"/>
      <c r="D281" s="135" t="s">
        <v>14</v>
      </c>
      <c r="E281" s="114">
        <v>0</v>
      </c>
      <c r="F281" s="114">
        <f>1713*1.2</f>
        <v>2055.6</v>
      </c>
      <c r="G281" s="114">
        <v>0</v>
      </c>
      <c r="H281" s="115">
        <f aca="true" t="shared" si="124" ref="H281:H295">SUM(E281:G281)</f>
        <v>2055.6</v>
      </c>
      <c r="I281" s="193">
        <v>0</v>
      </c>
      <c r="J281" s="126">
        <f aca="true" t="shared" si="125" ref="J281:J295">I281*H281</f>
        <v>0</v>
      </c>
    </row>
    <row r="282" spans="1:10" ht="24.95" customHeight="1">
      <c r="A282" s="135" t="s">
        <v>28</v>
      </c>
      <c r="B282" s="353" t="s">
        <v>83</v>
      </c>
      <c r="C282" s="353"/>
      <c r="D282" s="135" t="s">
        <v>41</v>
      </c>
      <c r="E282" s="275">
        <f aca="true" t="shared" si="126" ref="E282:F282">SUM(E281*0.0008)</f>
        <v>0</v>
      </c>
      <c r="F282" s="275">
        <f t="shared" si="126"/>
        <v>1.64448</v>
      </c>
      <c r="G282" s="275">
        <f aca="true" t="shared" si="127" ref="G282">SUM(G281*0.0008)</f>
        <v>0</v>
      </c>
      <c r="H282" s="115">
        <f t="shared" si="124"/>
        <v>1.64448</v>
      </c>
      <c r="I282" s="193">
        <v>0</v>
      </c>
      <c r="J282" s="126">
        <f t="shared" si="125"/>
        <v>0</v>
      </c>
    </row>
    <row r="283" spans="1:10" ht="24.95" customHeight="1">
      <c r="A283" s="135" t="s">
        <v>58</v>
      </c>
      <c r="B283" s="353" t="s">
        <v>82</v>
      </c>
      <c r="C283" s="353"/>
      <c r="D283" s="135" t="s">
        <v>14</v>
      </c>
      <c r="E283" s="114">
        <f aca="true" t="shared" si="128" ref="E283:F283">SUM(E281)</f>
        <v>0</v>
      </c>
      <c r="F283" s="114">
        <f t="shared" si="128"/>
        <v>2055.6</v>
      </c>
      <c r="G283" s="114">
        <f aca="true" t="shared" si="129" ref="G283">SUM(G281)</f>
        <v>0</v>
      </c>
      <c r="H283" s="115">
        <f t="shared" si="124"/>
        <v>2055.6</v>
      </c>
      <c r="I283" s="193">
        <v>0</v>
      </c>
      <c r="J283" s="126">
        <f t="shared" si="125"/>
        <v>0</v>
      </c>
    </row>
    <row r="284" spans="1:10" ht="24.95" customHeight="1">
      <c r="A284" s="135" t="s">
        <v>74</v>
      </c>
      <c r="B284" s="167" t="s">
        <v>75</v>
      </c>
      <c r="C284" s="167"/>
      <c r="D284" s="135" t="s">
        <v>14</v>
      </c>
      <c r="E284" s="114">
        <f aca="true" t="shared" si="130" ref="E284:F284">SUM(E281)</f>
        <v>0</v>
      </c>
      <c r="F284" s="114">
        <f t="shared" si="130"/>
        <v>2055.6</v>
      </c>
      <c r="G284" s="114">
        <f aca="true" t="shared" si="131" ref="G284">SUM(G281)</f>
        <v>0</v>
      </c>
      <c r="H284" s="115">
        <f t="shared" si="124"/>
        <v>2055.6</v>
      </c>
      <c r="I284" s="193">
        <v>0</v>
      </c>
      <c r="J284" s="126">
        <f t="shared" si="125"/>
        <v>0</v>
      </c>
    </row>
    <row r="285" spans="1:10" ht="24.95" customHeight="1">
      <c r="A285" s="135" t="s">
        <v>33</v>
      </c>
      <c r="B285" s="318" t="s">
        <v>59</v>
      </c>
      <c r="C285" s="318"/>
      <c r="D285" s="135" t="s">
        <v>14</v>
      </c>
      <c r="E285" s="114">
        <f aca="true" t="shared" si="132" ref="E285:F285">SUM(E281)</f>
        <v>0</v>
      </c>
      <c r="F285" s="114">
        <f t="shared" si="132"/>
        <v>2055.6</v>
      </c>
      <c r="G285" s="114">
        <f aca="true" t="shared" si="133" ref="G285">SUM(G281)</f>
        <v>0</v>
      </c>
      <c r="H285" s="115">
        <f t="shared" si="124"/>
        <v>2055.6</v>
      </c>
      <c r="I285" s="193">
        <v>0</v>
      </c>
      <c r="J285" s="126">
        <f t="shared" si="125"/>
        <v>0</v>
      </c>
    </row>
    <row r="286" spans="1:10" ht="24.95" customHeight="1">
      <c r="A286" s="135" t="s">
        <v>73</v>
      </c>
      <c r="B286" s="353" t="s">
        <v>141</v>
      </c>
      <c r="C286" s="353"/>
      <c r="D286" s="135" t="s">
        <v>15</v>
      </c>
      <c r="E286" s="217">
        <f aca="true" t="shared" si="134" ref="E286:F286">E281*0.01</f>
        <v>0</v>
      </c>
      <c r="F286" s="217">
        <f t="shared" si="134"/>
        <v>20.556</v>
      </c>
      <c r="G286" s="217">
        <f aca="true" t="shared" si="135" ref="G286">G281*0.01</f>
        <v>0</v>
      </c>
      <c r="H286" s="115">
        <f t="shared" si="124"/>
        <v>20.556</v>
      </c>
      <c r="I286" s="193">
        <v>0</v>
      </c>
      <c r="J286" s="126">
        <f t="shared" si="125"/>
        <v>0</v>
      </c>
    </row>
    <row r="287" spans="1:10" ht="24.95" customHeight="1">
      <c r="A287" s="210" t="s">
        <v>143</v>
      </c>
      <c r="B287" s="308" t="s">
        <v>142</v>
      </c>
      <c r="C287" s="308"/>
      <c r="D287" s="210" t="s">
        <v>14</v>
      </c>
      <c r="E287" s="114">
        <f aca="true" t="shared" si="136" ref="E287:F287">SUM(E281)</f>
        <v>0</v>
      </c>
      <c r="F287" s="114">
        <f t="shared" si="136"/>
        <v>2055.6</v>
      </c>
      <c r="G287" s="114">
        <f aca="true" t="shared" si="137" ref="G287">SUM(G281)</f>
        <v>0</v>
      </c>
      <c r="H287" s="115">
        <f t="shared" si="124"/>
        <v>2055.6</v>
      </c>
      <c r="I287" s="278">
        <v>0</v>
      </c>
      <c r="J287" s="126">
        <f t="shared" si="125"/>
        <v>0</v>
      </c>
    </row>
    <row r="288" spans="1:10" ht="24.95" customHeight="1">
      <c r="A288" s="135" t="s">
        <v>28</v>
      </c>
      <c r="B288" s="308" t="s">
        <v>199</v>
      </c>
      <c r="C288" s="308"/>
      <c r="D288" s="135" t="s">
        <v>18</v>
      </c>
      <c r="E288" s="281">
        <f aca="true" t="shared" si="138" ref="E288:G288">0*0.006</f>
        <v>0</v>
      </c>
      <c r="F288" s="281">
        <f>F281*0.012</f>
        <v>24.6672</v>
      </c>
      <c r="G288" s="281">
        <f t="shared" si="138"/>
        <v>0</v>
      </c>
      <c r="H288" s="115">
        <f t="shared" si="124"/>
        <v>24.6672</v>
      </c>
      <c r="I288" s="278">
        <v>0</v>
      </c>
      <c r="J288" s="126">
        <f t="shared" si="125"/>
        <v>0</v>
      </c>
    </row>
    <row r="289" spans="1:10" ht="24.95" customHeight="1">
      <c r="A289" s="135" t="s">
        <v>28</v>
      </c>
      <c r="B289" s="308" t="s">
        <v>327</v>
      </c>
      <c r="C289" s="308"/>
      <c r="D289" s="135" t="s">
        <v>18</v>
      </c>
      <c r="E289" s="282">
        <v>0</v>
      </c>
      <c r="F289" s="282">
        <f>F290*0.002</f>
        <v>4.1112</v>
      </c>
      <c r="G289" s="282">
        <v>0</v>
      </c>
      <c r="H289" s="115">
        <f t="shared" si="124"/>
        <v>4.1112</v>
      </c>
      <c r="I289" s="278">
        <v>0</v>
      </c>
      <c r="J289" s="126">
        <f>I289*H289</f>
        <v>0</v>
      </c>
    </row>
    <row r="290" spans="1:10" ht="24.95" customHeight="1">
      <c r="A290" s="210" t="s">
        <v>143</v>
      </c>
      <c r="B290" s="308" t="s">
        <v>142</v>
      </c>
      <c r="C290" s="308"/>
      <c r="D290" s="210" t="s">
        <v>14</v>
      </c>
      <c r="E290" s="282">
        <v>0</v>
      </c>
      <c r="F290" s="283">
        <f>F287</f>
        <v>2055.6</v>
      </c>
      <c r="G290" s="282">
        <v>0</v>
      </c>
      <c r="H290" s="115">
        <f t="shared" si="124"/>
        <v>2055.6</v>
      </c>
      <c r="I290" s="278">
        <v>0</v>
      </c>
      <c r="J290" s="126">
        <f t="shared" si="125"/>
        <v>0</v>
      </c>
    </row>
    <row r="291" spans="1:10" ht="24.95" customHeight="1">
      <c r="A291" s="210" t="s">
        <v>133</v>
      </c>
      <c r="B291" s="353" t="s">
        <v>134</v>
      </c>
      <c r="C291" s="353"/>
      <c r="D291" s="210" t="s">
        <v>14</v>
      </c>
      <c r="E291" s="114">
        <f>SUM(E281)</f>
        <v>0</v>
      </c>
      <c r="F291" s="114">
        <f>SUM(F281)</f>
        <v>2055.6</v>
      </c>
      <c r="G291" s="114">
        <f>SUM(G281)</f>
        <v>0</v>
      </c>
      <c r="H291" s="115">
        <f t="shared" si="124"/>
        <v>2055.6</v>
      </c>
      <c r="I291" s="278">
        <v>0</v>
      </c>
      <c r="J291" s="126">
        <f t="shared" si="125"/>
        <v>0</v>
      </c>
    </row>
    <row r="292" spans="1:10" ht="32.25" customHeight="1">
      <c r="A292" s="135" t="s">
        <v>144</v>
      </c>
      <c r="B292" s="353" t="s">
        <v>340</v>
      </c>
      <c r="C292" s="365"/>
      <c r="D292" s="135" t="s">
        <v>14</v>
      </c>
      <c r="E292" s="114">
        <v>0</v>
      </c>
      <c r="F292" s="114">
        <f>F281</f>
        <v>2055.6</v>
      </c>
      <c r="G292" s="114">
        <v>0</v>
      </c>
      <c r="H292" s="115">
        <f t="shared" si="124"/>
        <v>2055.6</v>
      </c>
      <c r="I292" s="193">
        <v>0</v>
      </c>
      <c r="J292" s="126">
        <f t="shared" si="125"/>
        <v>0</v>
      </c>
    </row>
    <row r="293" spans="1:10" ht="24.95" customHeight="1">
      <c r="A293" s="210" t="s">
        <v>28</v>
      </c>
      <c r="B293" s="353" t="s">
        <v>266</v>
      </c>
      <c r="C293" s="353"/>
      <c r="D293" s="135" t="s">
        <v>18</v>
      </c>
      <c r="E293" s="114">
        <f aca="true" t="shared" si="139" ref="E293">SUM(E291*250/10000)</f>
        <v>0</v>
      </c>
      <c r="F293" s="114">
        <f>SUM(F291*250/10000)</f>
        <v>51.39</v>
      </c>
      <c r="G293" s="114">
        <f aca="true" t="shared" si="140" ref="G293">SUM(G291*250/10000)</f>
        <v>0</v>
      </c>
      <c r="H293" s="115">
        <f t="shared" si="124"/>
        <v>51.39</v>
      </c>
      <c r="I293" s="193">
        <v>0</v>
      </c>
      <c r="J293" s="126">
        <f t="shared" si="125"/>
        <v>0</v>
      </c>
    </row>
    <row r="294" spans="1:10" ht="24.95" customHeight="1">
      <c r="A294" s="210" t="s">
        <v>147</v>
      </c>
      <c r="B294" s="353" t="s">
        <v>146</v>
      </c>
      <c r="C294" s="353"/>
      <c r="D294" s="210" t="s">
        <v>14</v>
      </c>
      <c r="E294" s="277">
        <f>SUM(E281)</f>
        <v>0</v>
      </c>
      <c r="F294" s="277">
        <f>SUM(F281)</f>
        <v>2055.6</v>
      </c>
      <c r="G294" s="277">
        <f>SUM(G281)</f>
        <v>0</v>
      </c>
      <c r="H294" s="115">
        <f t="shared" si="124"/>
        <v>2055.6</v>
      </c>
      <c r="I294" s="278">
        <v>0</v>
      </c>
      <c r="J294" s="126">
        <f t="shared" si="125"/>
        <v>0</v>
      </c>
    </row>
    <row r="295" spans="1:10" s="24" customFormat="1" ht="24.95" customHeight="1">
      <c r="A295" s="133" t="s">
        <v>27</v>
      </c>
      <c r="B295" s="341" t="s">
        <v>316</v>
      </c>
      <c r="C295" s="341"/>
      <c r="D295" s="133" t="s">
        <v>23</v>
      </c>
      <c r="E295" s="280">
        <f>E281*0.01</f>
        <v>0</v>
      </c>
      <c r="F295" s="280">
        <f aca="true" t="shared" si="141" ref="F295:G295">F281*0.01</f>
        <v>20.556</v>
      </c>
      <c r="G295" s="280">
        <f t="shared" si="141"/>
        <v>0</v>
      </c>
      <c r="H295" s="115">
        <f t="shared" si="124"/>
        <v>20.556</v>
      </c>
      <c r="I295" s="203">
        <v>0</v>
      </c>
      <c r="J295" s="200">
        <f t="shared" si="125"/>
        <v>0</v>
      </c>
    </row>
    <row r="296" spans="1:10" ht="24.95" customHeight="1">
      <c r="A296" s="210"/>
      <c r="B296" s="364" t="s">
        <v>135</v>
      </c>
      <c r="C296" s="364"/>
      <c r="D296" s="270"/>
      <c r="E296" s="271"/>
      <c r="F296" s="271"/>
      <c r="G296" s="271"/>
      <c r="H296" s="176"/>
      <c r="I296" s="178"/>
      <c r="J296" s="274">
        <f>SUM(J281:J295)</f>
        <v>0</v>
      </c>
    </row>
    <row r="297" spans="1:10" s="6" customFormat="1" ht="35.1" customHeight="1">
      <c r="A297" s="119"/>
      <c r="B297" s="367" t="s">
        <v>277</v>
      </c>
      <c r="C297" s="367"/>
      <c r="D297" s="367"/>
      <c r="E297" s="367"/>
      <c r="F297" s="367"/>
      <c r="G297" s="367"/>
      <c r="H297" s="367"/>
      <c r="I297" s="367"/>
      <c r="J297" s="284">
        <f>SUM(J296,J277,J257,J227,J197)</f>
        <v>0</v>
      </c>
    </row>
    <row r="298" spans="1:10" s="21" customFormat="1" ht="35.1" customHeight="1">
      <c r="A298" s="285"/>
      <c r="B298" s="325" t="s">
        <v>124</v>
      </c>
      <c r="C298" s="325"/>
      <c r="D298" s="325"/>
      <c r="E298" s="325"/>
      <c r="F298" s="325"/>
      <c r="G298" s="325"/>
      <c r="H298" s="325"/>
      <c r="I298" s="325"/>
      <c r="J298" s="325"/>
    </row>
    <row r="299" spans="1:10" s="15" customFormat="1" ht="24.95" customHeight="1">
      <c r="A299" s="326"/>
      <c r="B299" s="327" t="s">
        <v>7</v>
      </c>
      <c r="C299" s="327"/>
      <c r="D299" s="327" t="s">
        <v>156</v>
      </c>
      <c r="E299" s="328" t="s">
        <v>97</v>
      </c>
      <c r="F299" s="328"/>
      <c r="G299" s="328"/>
      <c r="H299" s="328"/>
      <c r="I299" s="329" t="s">
        <v>4</v>
      </c>
      <c r="J299" s="330" t="s">
        <v>98</v>
      </c>
    </row>
    <row r="300" spans="1:10" s="6" customFormat="1" ht="24.95" customHeight="1">
      <c r="A300" s="326"/>
      <c r="B300" s="327"/>
      <c r="C300" s="327"/>
      <c r="D300" s="327"/>
      <c r="E300" s="138" t="s">
        <v>200</v>
      </c>
      <c r="F300" s="138" t="s">
        <v>201</v>
      </c>
      <c r="G300" s="138" t="s">
        <v>324</v>
      </c>
      <c r="H300" s="110" t="s">
        <v>8</v>
      </c>
      <c r="I300" s="329"/>
      <c r="J300" s="330"/>
    </row>
    <row r="301" spans="1:10" s="16" customFormat="1" ht="24.95" customHeight="1">
      <c r="A301" s="210"/>
      <c r="B301" s="331" t="s">
        <v>125</v>
      </c>
      <c r="C301" s="331"/>
      <c r="D301" s="331"/>
      <c r="E301" s="331"/>
      <c r="F301" s="331"/>
      <c r="G301" s="331"/>
      <c r="H301" s="331"/>
      <c r="I301" s="331"/>
      <c r="J301" s="331"/>
    </row>
    <row r="302" spans="1:10" s="16" customFormat="1" ht="24.95" customHeight="1">
      <c r="A302" s="210" t="s">
        <v>27</v>
      </c>
      <c r="B302" s="308" t="s">
        <v>320</v>
      </c>
      <c r="C302" s="308"/>
      <c r="D302" s="135" t="s">
        <v>15</v>
      </c>
      <c r="E302" s="114">
        <f>E232*5*0.1</f>
        <v>9</v>
      </c>
      <c r="F302" s="114">
        <f>F232*5*0.1</f>
        <v>12.5</v>
      </c>
      <c r="G302" s="114">
        <f>G232*5*0.1</f>
        <v>22.5</v>
      </c>
      <c r="H302" s="115">
        <f aca="true" t="shared" si="142" ref="H302:H307">SUM(E302:G302)</f>
        <v>44</v>
      </c>
      <c r="I302" s="193">
        <v>0</v>
      </c>
      <c r="J302" s="286">
        <f>I302*H302</f>
        <v>0</v>
      </c>
    </row>
    <row r="303" spans="1:10" s="16" customFormat="1" ht="24.95" customHeight="1">
      <c r="A303" s="135" t="s">
        <v>175</v>
      </c>
      <c r="B303" s="318" t="s">
        <v>176</v>
      </c>
      <c r="C303" s="318"/>
      <c r="D303" s="216" t="s">
        <v>15</v>
      </c>
      <c r="E303" s="114">
        <f aca="true" t="shared" si="143" ref="E303:F303">E302</f>
        <v>9</v>
      </c>
      <c r="F303" s="114">
        <f t="shared" si="143"/>
        <v>12.5</v>
      </c>
      <c r="G303" s="114">
        <f aca="true" t="shared" si="144" ref="G303">G302</f>
        <v>22.5</v>
      </c>
      <c r="H303" s="115">
        <f t="shared" si="142"/>
        <v>44</v>
      </c>
      <c r="I303" s="193">
        <v>0</v>
      </c>
      <c r="J303" s="286">
        <f aca="true" t="shared" si="145" ref="J303:J307">I303*H303</f>
        <v>0</v>
      </c>
    </row>
    <row r="304" spans="1:10" s="16" customFormat="1" ht="24.95" customHeight="1">
      <c r="A304" s="210" t="s">
        <v>165</v>
      </c>
      <c r="B304" s="307" t="s">
        <v>122</v>
      </c>
      <c r="C304" s="307"/>
      <c r="D304" s="135" t="s">
        <v>9</v>
      </c>
      <c r="E304" s="114">
        <f>E232/2</f>
        <v>9</v>
      </c>
      <c r="F304" s="114">
        <f>F232/2</f>
        <v>12.5</v>
      </c>
      <c r="G304" s="114">
        <f>G232/2</f>
        <v>22.5</v>
      </c>
      <c r="H304" s="115">
        <f t="shared" si="142"/>
        <v>44</v>
      </c>
      <c r="I304" s="193">
        <v>0</v>
      </c>
      <c r="J304" s="286">
        <f t="shared" si="145"/>
        <v>0</v>
      </c>
    </row>
    <row r="305" spans="1:10" s="16" customFormat="1" ht="24.95" customHeight="1">
      <c r="A305" s="135" t="s">
        <v>53</v>
      </c>
      <c r="B305" s="308" t="s">
        <v>119</v>
      </c>
      <c r="C305" s="308"/>
      <c r="D305" s="135" t="s">
        <v>14</v>
      </c>
      <c r="E305" s="114">
        <f>E232</f>
        <v>18</v>
      </c>
      <c r="F305" s="114">
        <f>F232</f>
        <v>25</v>
      </c>
      <c r="G305" s="114">
        <f>G232</f>
        <v>45</v>
      </c>
      <c r="H305" s="115">
        <f t="shared" si="142"/>
        <v>88</v>
      </c>
      <c r="I305" s="193">
        <v>0</v>
      </c>
      <c r="J305" s="286">
        <f t="shared" si="145"/>
        <v>0</v>
      </c>
    </row>
    <row r="306" spans="1:10" s="16" customFormat="1" ht="24.95" customHeight="1">
      <c r="A306" s="135" t="s">
        <v>28</v>
      </c>
      <c r="B306" s="307" t="s">
        <v>130</v>
      </c>
      <c r="C306" s="307"/>
      <c r="D306" s="135" t="s">
        <v>15</v>
      </c>
      <c r="E306" s="114">
        <f>E232*0.1</f>
        <v>1.8</v>
      </c>
      <c r="F306" s="114">
        <f>F232*0.1</f>
        <v>2.5</v>
      </c>
      <c r="G306" s="114">
        <f>G232*0.1</f>
        <v>4.5</v>
      </c>
      <c r="H306" s="115">
        <f t="shared" si="142"/>
        <v>8.8</v>
      </c>
      <c r="I306" s="193">
        <v>0</v>
      </c>
      <c r="J306" s="286">
        <f t="shared" si="145"/>
        <v>0</v>
      </c>
    </row>
    <row r="307" spans="1:10" s="16" customFormat="1" ht="24.95" customHeight="1">
      <c r="A307" s="210" t="s">
        <v>166</v>
      </c>
      <c r="B307" s="308" t="s">
        <v>321</v>
      </c>
      <c r="C307" s="308"/>
      <c r="D307" s="135" t="s">
        <v>14</v>
      </c>
      <c r="E307" s="114">
        <f>E232</f>
        <v>18</v>
      </c>
      <c r="F307" s="114">
        <f>F232</f>
        <v>25</v>
      </c>
      <c r="G307" s="114">
        <f>G232</f>
        <v>45</v>
      </c>
      <c r="H307" s="115">
        <f t="shared" si="142"/>
        <v>88</v>
      </c>
      <c r="I307" s="193">
        <v>0</v>
      </c>
      <c r="J307" s="286">
        <f t="shared" si="145"/>
        <v>0</v>
      </c>
    </row>
    <row r="308" spans="1:10" s="16" customFormat="1" ht="24.95" customHeight="1">
      <c r="A308" s="35"/>
      <c r="B308" s="321" t="s">
        <v>126</v>
      </c>
      <c r="C308" s="321"/>
      <c r="D308" s="287"/>
      <c r="E308" s="288"/>
      <c r="F308" s="288"/>
      <c r="G308" s="288"/>
      <c r="H308" s="288"/>
      <c r="I308" s="289"/>
      <c r="J308" s="290">
        <f>SUM(J302:J307)</f>
        <v>0</v>
      </c>
    </row>
    <row r="309" spans="1:10" s="116" customFormat="1" ht="24.95" customHeight="1">
      <c r="A309" s="37"/>
      <c r="B309" s="322" t="s">
        <v>127</v>
      </c>
      <c r="C309" s="322"/>
      <c r="D309" s="322"/>
      <c r="E309" s="322"/>
      <c r="F309" s="322"/>
      <c r="G309" s="322"/>
      <c r="H309" s="322"/>
      <c r="I309" s="322"/>
      <c r="J309" s="322"/>
    </row>
    <row r="310" spans="1:10" s="116" customFormat="1" ht="24.95" customHeight="1">
      <c r="A310" s="139" t="s">
        <v>120</v>
      </c>
      <c r="B310" s="323" t="s">
        <v>322</v>
      </c>
      <c r="C310" s="323"/>
      <c r="D310" s="109" t="s">
        <v>15</v>
      </c>
      <c r="E310" s="114">
        <f>(91+120)*5*0.02</f>
        <v>21.1</v>
      </c>
      <c r="F310" s="114">
        <f>(F219+F223)*12*0.02</f>
        <v>0</v>
      </c>
      <c r="G310" s="114">
        <f>(G219+G223)*5*0.02</f>
        <v>108.60000000000001</v>
      </c>
      <c r="H310" s="115">
        <f>SUM(E310:G310)</f>
        <v>129.70000000000002</v>
      </c>
      <c r="I310" s="291">
        <v>0</v>
      </c>
      <c r="J310" s="153">
        <f>I310*H310</f>
        <v>0</v>
      </c>
    </row>
    <row r="311" spans="1:10" s="116" customFormat="1" ht="24.95" customHeight="1">
      <c r="A311" s="109" t="s">
        <v>175</v>
      </c>
      <c r="B311" s="324" t="s">
        <v>176</v>
      </c>
      <c r="C311" s="324"/>
      <c r="D311" s="292" t="s">
        <v>15</v>
      </c>
      <c r="E311" s="114">
        <f aca="true" t="shared" si="146" ref="E311:G311">E310</f>
        <v>21.1</v>
      </c>
      <c r="F311" s="114">
        <f t="shared" si="146"/>
        <v>0</v>
      </c>
      <c r="G311" s="114">
        <f t="shared" si="146"/>
        <v>108.60000000000001</v>
      </c>
      <c r="H311" s="115">
        <f aca="true" t="shared" si="147" ref="H311:H314">SUM(E311:G311)</f>
        <v>129.70000000000002</v>
      </c>
      <c r="I311" s="291">
        <v>0</v>
      </c>
      <c r="J311" s="153">
        <f aca="true" t="shared" si="148" ref="J311:J314">I311*H311</f>
        <v>0</v>
      </c>
    </row>
    <row r="312" spans="1:10" s="116" customFormat="1" ht="24.95" customHeight="1">
      <c r="A312" s="139" t="s">
        <v>116</v>
      </c>
      <c r="B312" s="309" t="s">
        <v>323</v>
      </c>
      <c r="C312" s="309"/>
      <c r="D312" s="109" t="s">
        <v>14</v>
      </c>
      <c r="E312" s="114">
        <f>(E219+E223)</f>
        <v>211</v>
      </c>
      <c r="F312" s="114">
        <f>(F219+F223)*2</f>
        <v>0</v>
      </c>
      <c r="G312" s="114">
        <f>(G219+G223)*2</f>
        <v>2172</v>
      </c>
      <c r="H312" s="115">
        <f t="shared" si="147"/>
        <v>2383</v>
      </c>
      <c r="I312" s="291">
        <v>0</v>
      </c>
      <c r="J312" s="153">
        <f t="shared" si="148"/>
        <v>0</v>
      </c>
    </row>
    <row r="313" spans="1:10" s="116" customFormat="1" ht="24.95" customHeight="1">
      <c r="A313" s="109" t="s">
        <v>29</v>
      </c>
      <c r="B313" s="309" t="s">
        <v>121</v>
      </c>
      <c r="C313" s="309"/>
      <c r="D313" s="109" t="s">
        <v>14</v>
      </c>
      <c r="E313" s="114">
        <f>(E219)</f>
        <v>91</v>
      </c>
      <c r="F313" s="114">
        <f>(F219)</f>
        <v>0</v>
      </c>
      <c r="G313" s="114">
        <f>(G219)</f>
        <v>1086</v>
      </c>
      <c r="H313" s="115">
        <f t="shared" si="147"/>
        <v>1177</v>
      </c>
      <c r="I313" s="291">
        <v>0</v>
      </c>
      <c r="J313" s="153">
        <f t="shared" si="148"/>
        <v>0</v>
      </c>
    </row>
    <row r="314" spans="1:10" s="116" customFormat="1" ht="24.95" customHeight="1">
      <c r="A314" s="109" t="s">
        <v>28</v>
      </c>
      <c r="B314" s="309" t="s">
        <v>131</v>
      </c>
      <c r="C314" s="309"/>
      <c r="D314" s="109" t="s">
        <v>15</v>
      </c>
      <c r="E314" s="114">
        <f>(E219)*0.1</f>
        <v>9.1</v>
      </c>
      <c r="F314" s="114">
        <f>(F219)*0.1</f>
        <v>0</v>
      </c>
      <c r="G314" s="114">
        <f>(G219)*0.1</f>
        <v>108.60000000000001</v>
      </c>
      <c r="H314" s="115">
        <f t="shared" si="147"/>
        <v>117.7</v>
      </c>
      <c r="I314" s="291">
        <v>0</v>
      </c>
      <c r="J314" s="153">
        <f t="shared" si="148"/>
        <v>0</v>
      </c>
    </row>
    <row r="315" spans="1:10" s="116" customFormat="1" ht="24.95" customHeight="1">
      <c r="A315" s="139"/>
      <c r="B315" s="310" t="s">
        <v>128</v>
      </c>
      <c r="C315" s="310"/>
      <c r="D315" s="293"/>
      <c r="E315" s="293"/>
      <c r="F315" s="293"/>
      <c r="G315" s="293"/>
      <c r="H315" s="293"/>
      <c r="I315" s="294"/>
      <c r="J315" s="295">
        <f>SUM(J310:J314)</f>
        <v>0</v>
      </c>
    </row>
    <row r="316" spans="1:10" s="116" customFormat="1" ht="24.95" customHeight="1">
      <c r="A316" s="35"/>
      <c r="B316" s="311" t="s">
        <v>317</v>
      </c>
      <c r="C316" s="311"/>
      <c r="D316" s="311"/>
      <c r="E316" s="311"/>
      <c r="F316" s="311"/>
      <c r="G316" s="311"/>
      <c r="H316" s="311"/>
      <c r="I316" s="311"/>
      <c r="J316" s="311"/>
    </row>
    <row r="317" spans="1:10" s="116" customFormat="1" ht="24.95" customHeight="1">
      <c r="A317" s="210" t="s">
        <v>27</v>
      </c>
      <c r="B317" s="307" t="s">
        <v>318</v>
      </c>
      <c r="C317" s="307"/>
      <c r="D317" s="135" t="s">
        <v>14</v>
      </c>
      <c r="E317" s="114">
        <f>160</f>
        <v>160</v>
      </c>
      <c r="F317" s="114">
        <f>(2055.6+1585)</f>
        <v>3640.6</v>
      </c>
      <c r="G317" s="109">
        <v>0</v>
      </c>
      <c r="H317" s="115">
        <f>SUM(E317:G317)</f>
        <v>3800.6</v>
      </c>
      <c r="I317" s="193">
        <v>0</v>
      </c>
      <c r="J317" s="286">
        <f aca="true" t="shared" si="149" ref="J317">I317*H317</f>
        <v>0</v>
      </c>
    </row>
    <row r="318" spans="1:10" s="116" customFormat="1" ht="24.95" customHeight="1">
      <c r="A318" s="210"/>
      <c r="B318" s="312" t="s">
        <v>319</v>
      </c>
      <c r="C318" s="312"/>
      <c r="D318" s="287"/>
      <c r="E318" s="288"/>
      <c r="F318" s="288"/>
      <c r="G318" s="288"/>
      <c r="H318" s="288"/>
      <c r="I318" s="289"/>
      <c r="J318" s="290">
        <f>SUM(J317:J317)</f>
        <v>0</v>
      </c>
    </row>
    <row r="319" spans="1:10" s="117" customFormat="1" ht="24.95" customHeight="1">
      <c r="A319" s="296" t="s">
        <v>27</v>
      </c>
      <c r="B319" s="313" t="s">
        <v>197</v>
      </c>
      <c r="C319" s="314"/>
      <c r="D319" s="134" t="s">
        <v>196</v>
      </c>
      <c r="E319" s="315">
        <v>2</v>
      </c>
      <c r="F319" s="316"/>
      <c r="G319" s="316"/>
      <c r="H319" s="317"/>
      <c r="I319" s="297">
        <v>0</v>
      </c>
      <c r="J319" s="298">
        <f>E319*I319</f>
        <v>0</v>
      </c>
    </row>
    <row r="320" spans="1:10" s="20" customFormat="1" ht="35.1" customHeight="1">
      <c r="A320" s="299"/>
      <c r="B320" s="306" t="s">
        <v>129</v>
      </c>
      <c r="C320" s="306"/>
      <c r="D320" s="306"/>
      <c r="E320" s="306"/>
      <c r="F320" s="306"/>
      <c r="G320" s="306"/>
      <c r="H320" s="306"/>
      <c r="I320" s="306"/>
      <c r="J320" s="300">
        <f>SUM(J319,J315,J308,J318)</f>
        <v>0</v>
      </c>
    </row>
    <row r="321" spans="1:10" s="21" customFormat="1" ht="35.1" customHeight="1">
      <c r="A321" s="285"/>
      <c r="B321" s="325" t="s">
        <v>342</v>
      </c>
      <c r="C321" s="325"/>
      <c r="D321" s="325"/>
      <c r="E321" s="325"/>
      <c r="F321" s="325"/>
      <c r="G321" s="325"/>
      <c r="H321" s="325"/>
      <c r="I321" s="325"/>
      <c r="J321" s="325"/>
    </row>
    <row r="322" spans="1:10" s="15" customFormat="1" ht="24.95" customHeight="1">
      <c r="A322" s="326"/>
      <c r="B322" s="327" t="s">
        <v>7</v>
      </c>
      <c r="C322" s="327"/>
      <c r="D322" s="327" t="s">
        <v>156</v>
      </c>
      <c r="E322" s="328" t="s">
        <v>97</v>
      </c>
      <c r="F322" s="328"/>
      <c r="G322" s="328"/>
      <c r="H322" s="328"/>
      <c r="I322" s="329" t="s">
        <v>4</v>
      </c>
      <c r="J322" s="330" t="s">
        <v>98</v>
      </c>
    </row>
    <row r="323" spans="1:10" s="6" customFormat="1" ht="24.95" customHeight="1">
      <c r="A323" s="326"/>
      <c r="B323" s="327"/>
      <c r="C323" s="327"/>
      <c r="D323" s="327"/>
      <c r="E323" s="138" t="s">
        <v>200</v>
      </c>
      <c r="F323" s="138" t="s">
        <v>201</v>
      </c>
      <c r="G323" s="138" t="s">
        <v>324</v>
      </c>
      <c r="H323" s="110" t="s">
        <v>8</v>
      </c>
      <c r="I323" s="329"/>
      <c r="J323" s="330"/>
    </row>
    <row r="324" spans="1:10" s="16" customFormat="1" ht="24.95" customHeight="1">
      <c r="A324" s="210"/>
      <c r="B324" s="331" t="s">
        <v>343</v>
      </c>
      <c r="C324" s="331"/>
      <c r="D324" s="331"/>
      <c r="E324" s="331"/>
      <c r="F324" s="331"/>
      <c r="G324" s="331"/>
      <c r="H324" s="331"/>
      <c r="I324" s="331"/>
      <c r="J324" s="331"/>
    </row>
    <row r="325" spans="1:10" s="16" customFormat="1" ht="24.95" customHeight="1">
      <c r="A325" s="210" t="s">
        <v>27</v>
      </c>
      <c r="B325" s="308" t="s">
        <v>320</v>
      </c>
      <c r="C325" s="308"/>
      <c r="D325" s="135" t="s">
        <v>15</v>
      </c>
      <c r="E325" s="114">
        <v>9</v>
      </c>
      <c r="F325" s="114">
        <v>12.5</v>
      </c>
      <c r="G325" s="114">
        <v>22.5</v>
      </c>
      <c r="H325" s="115">
        <f>SUM(E325:G325)</f>
        <v>44</v>
      </c>
      <c r="I325" s="193">
        <v>0</v>
      </c>
      <c r="J325" s="286">
        <f>I325*H325</f>
        <v>0</v>
      </c>
    </row>
    <row r="326" spans="1:10" s="16" customFormat="1" ht="24.95" customHeight="1">
      <c r="A326" s="135" t="s">
        <v>175</v>
      </c>
      <c r="B326" s="318" t="s">
        <v>176</v>
      </c>
      <c r="C326" s="318"/>
      <c r="D326" s="216" t="s">
        <v>15</v>
      </c>
      <c r="E326" s="114">
        <v>9</v>
      </c>
      <c r="F326" s="114">
        <v>12.5</v>
      </c>
      <c r="G326" s="114">
        <v>22.5</v>
      </c>
      <c r="H326" s="115">
        <f aca="true" t="shared" si="150" ref="H326:H330">SUM(E326:G326)</f>
        <v>44</v>
      </c>
      <c r="I326" s="193">
        <v>0</v>
      </c>
      <c r="J326" s="286">
        <f aca="true" t="shared" si="151" ref="J326:J330">I326*H326</f>
        <v>0</v>
      </c>
    </row>
    <row r="327" spans="1:10" s="16" customFormat="1" ht="24.95" customHeight="1">
      <c r="A327" s="210" t="s">
        <v>165</v>
      </c>
      <c r="B327" s="307" t="s">
        <v>122</v>
      </c>
      <c r="C327" s="307"/>
      <c r="D327" s="135" t="s">
        <v>9</v>
      </c>
      <c r="E327" s="114">
        <v>9</v>
      </c>
      <c r="F327" s="114">
        <v>12.5</v>
      </c>
      <c r="G327" s="114">
        <v>22.5</v>
      </c>
      <c r="H327" s="115">
        <f t="shared" si="150"/>
        <v>44</v>
      </c>
      <c r="I327" s="193">
        <v>0</v>
      </c>
      <c r="J327" s="286">
        <f t="shared" si="151"/>
        <v>0</v>
      </c>
    </row>
    <row r="328" spans="1:10" s="16" customFormat="1" ht="24.95" customHeight="1">
      <c r="A328" s="135" t="s">
        <v>53</v>
      </c>
      <c r="B328" s="308" t="s">
        <v>119</v>
      </c>
      <c r="C328" s="308"/>
      <c r="D328" s="135" t="s">
        <v>14</v>
      </c>
      <c r="E328" s="114">
        <v>18</v>
      </c>
      <c r="F328" s="114">
        <v>25</v>
      </c>
      <c r="G328" s="114">
        <v>45</v>
      </c>
      <c r="H328" s="115">
        <f t="shared" si="150"/>
        <v>88</v>
      </c>
      <c r="I328" s="193">
        <v>0</v>
      </c>
      <c r="J328" s="286">
        <f t="shared" si="151"/>
        <v>0</v>
      </c>
    </row>
    <row r="329" spans="1:10" s="16" customFormat="1" ht="24.95" customHeight="1">
      <c r="A329" s="135" t="s">
        <v>28</v>
      </c>
      <c r="B329" s="307" t="s">
        <v>130</v>
      </c>
      <c r="C329" s="307"/>
      <c r="D329" s="135" t="s">
        <v>15</v>
      </c>
      <c r="E329" s="114">
        <v>1.8</v>
      </c>
      <c r="F329" s="114">
        <v>2.5</v>
      </c>
      <c r="G329" s="114">
        <v>4.5</v>
      </c>
      <c r="H329" s="115">
        <f t="shared" si="150"/>
        <v>8.8</v>
      </c>
      <c r="I329" s="193">
        <v>0</v>
      </c>
      <c r="J329" s="286">
        <f t="shared" si="151"/>
        <v>0</v>
      </c>
    </row>
    <row r="330" spans="1:10" s="16" customFormat="1" ht="24.95" customHeight="1">
      <c r="A330" s="210" t="s">
        <v>166</v>
      </c>
      <c r="B330" s="308" t="s">
        <v>321</v>
      </c>
      <c r="C330" s="308"/>
      <c r="D330" s="135" t="s">
        <v>14</v>
      </c>
      <c r="E330" s="114">
        <v>18</v>
      </c>
      <c r="F330" s="114">
        <v>25</v>
      </c>
      <c r="G330" s="114">
        <v>45</v>
      </c>
      <c r="H330" s="115">
        <f t="shared" si="150"/>
        <v>88</v>
      </c>
      <c r="I330" s="193">
        <v>0</v>
      </c>
      <c r="J330" s="286">
        <f t="shared" si="151"/>
        <v>0</v>
      </c>
    </row>
    <row r="331" spans="1:10" s="16" customFormat="1" ht="24.95" customHeight="1">
      <c r="A331" s="35"/>
      <c r="B331" s="321" t="s">
        <v>344</v>
      </c>
      <c r="C331" s="321"/>
      <c r="D331" s="287"/>
      <c r="E331" s="288"/>
      <c r="F331" s="288"/>
      <c r="G331" s="288"/>
      <c r="H331" s="288"/>
      <c r="I331" s="289"/>
      <c r="J331" s="290">
        <f>SUM(J325:J330)</f>
        <v>0</v>
      </c>
    </row>
    <row r="332" spans="1:10" s="116" customFormat="1" ht="24.95" customHeight="1">
      <c r="A332" s="37"/>
      <c r="B332" s="322" t="s">
        <v>345</v>
      </c>
      <c r="C332" s="322"/>
      <c r="D332" s="322"/>
      <c r="E332" s="322"/>
      <c r="F332" s="322"/>
      <c r="G332" s="322"/>
      <c r="H332" s="322"/>
      <c r="I332" s="322"/>
      <c r="J332" s="322"/>
    </row>
    <row r="333" spans="1:10" s="116" customFormat="1" ht="24.95" customHeight="1">
      <c r="A333" s="139" t="s">
        <v>120</v>
      </c>
      <c r="B333" s="323" t="s">
        <v>322</v>
      </c>
      <c r="C333" s="323"/>
      <c r="D333" s="109" t="s">
        <v>15</v>
      </c>
      <c r="E333" s="114">
        <v>21.1</v>
      </c>
      <c r="F333" s="114">
        <v>0</v>
      </c>
      <c r="G333" s="114">
        <v>108.60000000000001</v>
      </c>
      <c r="H333" s="115">
        <f>SUM(E333:G333)</f>
        <v>129.70000000000002</v>
      </c>
      <c r="I333" s="291">
        <v>0</v>
      </c>
      <c r="J333" s="153">
        <f>I333*H333</f>
        <v>0</v>
      </c>
    </row>
    <row r="334" spans="1:10" s="116" customFormat="1" ht="24.95" customHeight="1">
      <c r="A334" s="109" t="s">
        <v>175</v>
      </c>
      <c r="B334" s="324" t="s">
        <v>176</v>
      </c>
      <c r="C334" s="324"/>
      <c r="D334" s="292" t="s">
        <v>15</v>
      </c>
      <c r="E334" s="114">
        <v>21.1</v>
      </c>
      <c r="F334" s="114">
        <v>0</v>
      </c>
      <c r="G334" s="114">
        <v>108.60000000000001</v>
      </c>
      <c r="H334" s="115">
        <f aca="true" t="shared" si="152" ref="H334:H337">SUM(E334:G334)</f>
        <v>129.70000000000002</v>
      </c>
      <c r="I334" s="291">
        <v>0</v>
      </c>
      <c r="J334" s="153">
        <f aca="true" t="shared" si="153" ref="J334:J337">I334*H334</f>
        <v>0</v>
      </c>
    </row>
    <row r="335" spans="1:10" s="116" customFormat="1" ht="24.95" customHeight="1">
      <c r="A335" s="139" t="s">
        <v>116</v>
      </c>
      <c r="B335" s="309" t="s">
        <v>323</v>
      </c>
      <c r="C335" s="309"/>
      <c r="D335" s="109" t="s">
        <v>14</v>
      </c>
      <c r="E335" s="114">
        <v>211</v>
      </c>
      <c r="F335" s="114">
        <v>0</v>
      </c>
      <c r="G335" s="114">
        <v>2172</v>
      </c>
      <c r="H335" s="115">
        <f t="shared" si="152"/>
        <v>2383</v>
      </c>
      <c r="I335" s="291">
        <v>0</v>
      </c>
      <c r="J335" s="153">
        <f t="shared" si="153"/>
        <v>0</v>
      </c>
    </row>
    <row r="336" spans="1:10" s="116" customFormat="1" ht="24.95" customHeight="1">
      <c r="A336" s="109" t="s">
        <v>29</v>
      </c>
      <c r="B336" s="309" t="s">
        <v>121</v>
      </c>
      <c r="C336" s="309"/>
      <c r="D336" s="109" t="s">
        <v>14</v>
      </c>
      <c r="E336" s="114">
        <v>91</v>
      </c>
      <c r="F336" s="114">
        <v>0</v>
      </c>
      <c r="G336" s="114">
        <v>1086</v>
      </c>
      <c r="H336" s="115">
        <f t="shared" si="152"/>
        <v>1177</v>
      </c>
      <c r="I336" s="291">
        <v>0</v>
      </c>
      <c r="J336" s="153">
        <f t="shared" si="153"/>
        <v>0</v>
      </c>
    </row>
    <row r="337" spans="1:10" s="116" customFormat="1" ht="24.95" customHeight="1">
      <c r="A337" s="109" t="s">
        <v>28</v>
      </c>
      <c r="B337" s="309" t="s">
        <v>131</v>
      </c>
      <c r="C337" s="309"/>
      <c r="D337" s="109" t="s">
        <v>15</v>
      </c>
      <c r="E337" s="114">
        <v>9.1</v>
      </c>
      <c r="F337" s="114">
        <v>0</v>
      </c>
      <c r="G337" s="114">
        <v>108.60000000000001</v>
      </c>
      <c r="H337" s="115">
        <f t="shared" si="152"/>
        <v>117.7</v>
      </c>
      <c r="I337" s="291">
        <v>0</v>
      </c>
      <c r="J337" s="153">
        <f t="shared" si="153"/>
        <v>0</v>
      </c>
    </row>
    <row r="338" spans="1:10" s="116" customFormat="1" ht="24.95" customHeight="1">
      <c r="A338" s="139"/>
      <c r="B338" s="310" t="s">
        <v>346</v>
      </c>
      <c r="C338" s="310"/>
      <c r="D338" s="293"/>
      <c r="E338" s="293"/>
      <c r="F338" s="293"/>
      <c r="G338" s="293"/>
      <c r="H338" s="293"/>
      <c r="I338" s="294"/>
      <c r="J338" s="295">
        <f>SUM(J333:J337)</f>
        <v>0</v>
      </c>
    </row>
    <row r="339" spans="1:10" s="116" customFormat="1" ht="24.95" customHeight="1">
      <c r="A339" s="35"/>
      <c r="B339" s="311" t="s">
        <v>347</v>
      </c>
      <c r="C339" s="311"/>
      <c r="D339" s="311"/>
      <c r="E339" s="311"/>
      <c r="F339" s="311"/>
      <c r="G339" s="311"/>
      <c r="H339" s="311"/>
      <c r="I339" s="311"/>
      <c r="J339" s="311"/>
    </row>
    <row r="340" spans="1:10" s="116" customFormat="1" ht="24.95" customHeight="1">
      <c r="A340" s="210" t="s">
        <v>27</v>
      </c>
      <c r="B340" s="307" t="s">
        <v>318</v>
      </c>
      <c r="C340" s="307"/>
      <c r="D340" s="135" t="s">
        <v>14</v>
      </c>
      <c r="E340" s="114">
        <v>160</v>
      </c>
      <c r="F340" s="114">
        <v>3640.6</v>
      </c>
      <c r="G340" s="109">
        <v>0</v>
      </c>
      <c r="H340" s="115">
        <f aca="true" t="shared" si="154" ref="H340">SUM(E340:G340)</f>
        <v>3800.6</v>
      </c>
      <c r="I340" s="193">
        <v>0</v>
      </c>
      <c r="J340" s="286">
        <f aca="true" t="shared" si="155" ref="J340">I340*H340</f>
        <v>0</v>
      </c>
    </row>
    <row r="341" spans="1:10" s="116" customFormat="1" ht="24.95" customHeight="1">
      <c r="A341" s="210"/>
      <c r="B341" s="312" t="s">
        <v>348</v>
      </c>
      <c r="C341" s="312"/>
      <c r="D341" s="287"/>
      <c r="E341" s="288"/>
      <c r="F341" s="288"/>
      <c r="G341" s="288"/>
      <c r="H341" s="288"/>
      <c r="I341" s="289"/>
      <c r="J341" s="290">
        <f>SUM(J340:J340)</f>
        <v>0</v>
      </c>
    </row>
    <row r="342" spans="1:10" s="117" customFormat="1" ht="24.95" customHeight="1">
      <c r="A342" s="296" t="s">
        <v>27</v>
      </c>
      <c r="B342" s="313" t="s">
        <v>349</v>
      </c>
      <c r="C342" s="314"/>
      <c r="D342" s="134" t="s">
        <v>196</v>
      </c>
      <c r="E342" s="315">
        <v>2</v>
      </c>
      <c r="F342" s="316"/>
      <c r="G342" s="316"/>
      <c r="H342" s="317"/>
      <c r="I342" s="297">
        <v>0</v>
      </c>
      <c r="J342" s="298">
        <f>E342*I342</f>
        <v>0</v>
      </c>
    </row>
    <row r="343" spans="1:10" s="20" customFormat="1" ht="35.1" customHeight="1">
      <c r="A343" s="299"/>
      <c r="B343" s="306" t="s">
        <v>350</v>
      </c>
      <c r="C343" s="306"/>
      <c r="D343" s="306"/>
      <c r="E343" s="306"/>
      <c r="F343" s="306"/>
      <c r="G343" s="306"/>
      <c r="H343" s="306"/>
      <c r="I343" s="306"/>
      <c r="J343" s="300">
        <f>SUM(J342,J338,J331,J341)</f>
        <v>0</v>
      </c>
    </row>
    <row r="344" spans="1:10" s="21" customFormat="1" ht="35.1" customHeight="1">
      <c r="A344" s="285"/>
      <c r="B344" s="325" t="s">
        <v>351</v>
      </c>
      <c r="C344" s="325"/>
      <c r="D344" s="325"/>
      <c r="E344" s="325"/>
      <c r="F344" s="325"/>
      <c r="G344" s="325"/>
      <c r="H344" s="325"/>
      <c r="I344" s="325"/>
      <c r="J344" s="325"/>
    </row>
    <row r="345" spans="1:10" s="15" customFormat="1" ht="24.95" customHeight="1">
      <c r="A345" s="326"/>
      <c r="B345" s="327" t="s">
        <v>7</v>
      </c>
      <c r="C345" s="327"/>
      <c r="D345" s="327" t="s">
        <v>156</v>
      </c>
      <c r="E345" s="328" t="s">
        <v>97</v>
      </c>
      <c r="F345" s="328"/>
      <c r="G345" s="328"/>
      <c r="H345" s="328"/>
      <c r="I345" s="329" t="s">
        <v>4</v>
      </c>
      <c r="J345" s="330" t="s">
        <v>98</v>
      </c>
    </row>
    <row r="346" spans="1:10" s="6" customFormat="1" ht="24.95" customHeight="1">
      <c r="A346" s="326"/>
      <c r="B346" s="327"/>
      <c r="C346" s="327"/>
      <c r="D346" s="327"/>
      <c r="E346" s="138" t="s">
        <v>200</v>
      </c>
      <c r="F346" s="138" t="s">
        <v>201</v>
      </c>
      <c r="G346" s="138" t="s">
        <v>324</v>
      </c>
      <c r="H346" s="110" t="s">
        <v>8</v>
      </c>
      <c r="I346" s="329"/>
      <c r="J346" s="330"/>
    </row>
    <row r="347" spans="1:10" s="16" customFormat="1" ht="24.95" customHeight="1">
      <c r="A347" s="210"/>
      <c r="B347" s="331" t="s">
        <v>352</v>
      </c>
      <c r="C347" s="331"/>
      <c r="D347" s="331"/>
      <c r="E347" s="331"/>
      <c r="F347" s="331"/>
      <c r="G347" s="331"/>
      <c r="H347" s="331"/>
      <c r="I347" s="331"/>
      <c r="J347" s="331"/>
    </row>
    <row r="348" spans="1:10" s="16" customFormat="1" ht="24.95" customHeight="1">
      <c r="A348" s="210" t="s">
        <v>27</v>
      </c>
      <c r="B348" s="308" t="s">
        <v>320</v>
      </c>
      <c r="C348" s="308"/>
      <c r="D348" s="135" t="s">
        <v>15</v>
      </c>
      <c r="E348" s="114">
        <v>9</v>
      </c>
      <c r="F348" s="114">
        <v>12.5</v>
      </c>
      <c r="G348" s="114">
        <v>22.5</v>
      </c>
      <c r="H348" s="115">
        <f aca="true" t="shared" si="156" ref="H348:H354">SUM(E348:G348)</f>
        <v>44</v>
      </c>
      <c r="I348" s="193">
        <v>0</v>
      </c>
      <c r="J348" s="286">
        <f>I348*H348</f>
        <v>0</v>
      </c>
    </row>
    <row r="349" spans="1:10" s="16" customFormat="1" ht="24.95" customHeight="1">
      <c r="A349" s="135" t="s">
        <v>175</v>
      </c>
      <c r="B349" s="318" t="s">
        <v>176</v>
      </c>
      <c r="C349" s="318"/>
      <c r="D349" s="216" t="s">
        <v>15</v>
      </c>
      <c r="E349" s="114">
        <v>9</v>
      </c>
      <c r="F349" s="114">
        <v>12.5</v>
      </c>
      <c r="G349" s="114">
        <v>22.5</v>
      </c>
      <c r="H349" s="115">
        <f t="shared" si="156"/>
        <v>44</v>
      </c>
      <c r="I349" s="193">
        <v>0</v>
      </c>
      <c r="J349" s="286">
        <f aca="true" t="shared" si="157" ref="J349:J351">I349*H349</f>
        <v>0</v>
      </c>
    </row>
    <row r="350" spans="1:10" s="16" customFormat="1" ht="24.95" customHeight="1">
      <c r="A350" s="135" t="s">
        <v>53</v>
      </c>
      <c r="B350" s="319" t="s">
        <v>119</v>
      </c>
      <c r="C350" s="320"/>
      <c r="D350" s="135" t="s">
        <v>14</v>
      </c>
      <c r="E350" s="114">
        <v>18</v>
      </c>
      <c r="F350" s="114">
        <v>25</v>
      </c>
      <c r="G350" s="114">
        <v>45</v>
      </c>
      <c r="H350" s="115">
        <f t="shared" si="156"/>
        <v>88</v>
      </c>
      <c r="I350" s="193">
        <v>0</v>
      </c>
      <c r="J350" s="286">
        <f t="shared" si="157"/>
        <v>0</v>
      </c>
    </row>
    <row r="351" spans="1:10" s="16" customFormat="1" ht="24.95" customHeight="1">
      <c r="A351" s="135" t="s">
        <v>28</v>
      </c>
      <c r="B351" s="267" t="s">
        <v>130</v>
      </c>
      <c r="C351" s="268"/>
      <c r="D351" s="135" t="s">
        <v>15</v>
      </c>
      <c r="E351" s="114">
        <v>1.8</v>
      </c>
      <c r="F351" s="114">
        <v>2.5</v>
      </c>
      <c r="G351" s="114">
        <v>4.5</v>
      </c>
      <c r="H351" s="115">
        <f t="shared" si="156"/>
        <v>8.8</v>
      </c>
      <c r="I351" s="193">
        <v>0</v>
      </c>
      <c r="J351" s="286">
        <f t="shared" si="157"/>
        <v>0</v>
      </c>
    </row>
    <row r="352" spans="1:10" s="16" customFormat="1" ht="24.95" customHeight="1">
      <c r="A352" s="210" t="s">
        <v>166</v>
      </c>
      <c r="B352" s="308" t="s">
        <v>321</v>
      </c>
      <c r="C352" s="308"/>
      <c r="D352" s="135" t="s">
        <v>14</v>
      </c>
      <c r="E352" s="114">
        <v>18</v>
      </c>
      <c r="F352" s="114">
        <v>25</v>
      </c>
      <c r="G352" s="114">
        <v>45</v>
      </c>
      <c r="H352" s="115">
        <f t="shared" si="156"/>
        <v>88</v>
      </c>
      <c r="I352" s="193">
        <v>0</v>
      </c>
      <c r="J352" s="286">
        <f>I352*H352</f>
        <v>0</v>
      </c>
    </row>
    <row r="353" spans="1:10" s="16" customFormat="1" ht="24.95" customHeight="1">
      <c r="A353" s="35">
        <v>184852322</v>
      </c>
      <c r="B353" s="307" t="s">
        <v>360</v>
      </c>
      <c r="C353" s="307"/>
      <c r="D353" s="135" t="s">
        <v>9</v>
      </c>
      <c r="E353" s="114">
        <f>E232</f>
        <v>18</v>
      </c>
      <c r="F353" s="114">
        <f aca="true" t="shared" si="158" ref="F353:G354">F232</f>
        <v>25</v>
      </c>
      <c r="G353" s="114">
        <f t="shared" si="158"/>
        <v>45</v>
      </c>
      <c r="H353" s="115">
        <f t="shared" si="156"/>
        <v>88</v>
      </c>
      <c r="I353" s="193">
        <v>0</v>
      </c>
      <c r="J353" s="286">
        <f aca="true" t="shared" si="159" ref="J353:J354">I353*H353</f>
        <v>0</v>
      </c>
    </row>
    <row r="354" spans="1:10" s="136" customFormat="1" ht="37.5" customHeight="1">
      <c r="A354" s="35">
        <v>184215173</v>
      </c>
      <c r="B354" s="308" t="s">
        <v>361</v>
      </c>
      <c r="C354" s="308"/>
      <c r="D354" s="135" t="s">
        <v>9</v>
      </c>
      <c r="E354" s="236">
        <f>E233</f>
        <v>18</v>
      </c>
      <c r="F354" s="236">
        <f t="shared" si="158"/>
        <v>0</v>
      </c>
      <c r="G354" s="236">
        <f t="shared" si="158"/>
        <v>45</v>
      </c>
      <c r="H354" s="115">
        <f t="shared" si="156"/>
        <v>63</v>
      </c>
      <c r="I354" s="193">
        <v>0</v>
      </c>
      <c r="J354" s="286">
        <f t="shared" si="159"/>
        <v>0</v>
      </c>
    </row>
    <row r="355" spans="1:10" s="16" customFormat="1" ht="24.95" customHeight="1">
      <c r="A355" s="35"/>
      <c r="B355" s="321" t="s">
        <v>353</v>
      </c>
      <c r="C355" s="321"/>
      <c r="D355" s="287"/>
      <c r="E355" s="288"/>
      <c r="F355" s="288"/>
      <c r="G355" s="288"/>
      <c r="H355" s="288"/>
      <c r="I355" s="289"/>
      <c r="J355" s="290">
        <f>SUM(J348:J354)</f>
        <v>0</v>
      </c>
    </row>
    <row r="356" spans="1:10" s="116" customFormat="1" ht="24.95" customHeight="1">
      <c r="A356" s="37"/>
      <c r="B356" s="322" t="s">
        <v>354</v>
      </c>
      <c r="C356" s="322"/>
      <c r="D356" s="322"/>
      <c r="E356" s="322"/>
      <c r="F356" s="322"/>
      <c r="G356" s="322"/>
      <c r="H356" s="322"/>
      <c r="I356" s="322"/>
      <c r="J356" s="322"/>
    </row>
    <row r="357" spans="1:10" s="116" customFormat="1" ht="24.95" customHeight="1">
      <c r="A357" s="139" t="s">
        <v>120</v>
      </c>
      <c r="B357" s="323" t="s">
        <v>322</v>
      </c>
      <c r="C357" s="323"/>
      <c r="D357" s="109" t="s">
        <v>15</v>
      </c>
      <c r="E357" s="114">
        <v>21.1</v>
      </c>
      <c r="F357" s="114">
        <v>0</v>
      </c>
      <c r="G357" s="114">
        <v>108.60000000000001</v>
      </c>
      <c r="H357" s="115">
        <f aca="true" t="shared" si="160" ref="H357:H361">SUM(E357:G357)</f>
        <v>129.70000000000002</v>
      </c>
      <c r="I357" s="291">
        <v>0</v>
      </c>
      <c r="J357" s="153">
        <f>I357*H357</f>
        <v>0</v>
      </c>
    </row>
    <row r="358" spans="1:10" s="116" customFormat="1" ht="24.95" customHeight="1">
      <c r="A358" s="109" t="s">
        <v>175</v>
      </c>
      <c r="B358" s="324" t="s">
        <v>176</v>
      </c>
      <c r="C358" s="324"/>
      <c r="D358" s="292" t="s">
        <v>15</v>
      </c>
      <c r="E358" s="114">
        <v>21.1</v>
      </c>
      <c r="F358" s="114">
        <v>0</v>
      </c>
      <c r="G358" s="114">
        <v>108.60000000000001</v>
      </c>
      <c r="H358" s="115">
        <f t="shared" si="160"/>
        <v>129.70000000000002</v>
      </c>
      <c r="I358" s="291">
        <v>0</v>
      </c>
      <c r="J358" s="153">
        <f aca="true" t="shared" si="161" ref="J358:J361">I358*H358</f>
        <v>0</v>
      </c>
    </row>
    <row r="359" spans="1:10" s="116" customFormat="1" ht="24.95" customHeight="1">
      <c r="A359" s="139" t="s">
        <v>116</v>
      </c>
      <c r="B359" s="309" t="s">
        <v>323</v>
      </c>
      <c r="C359" s="309"/>
      <c r="D359" s="109" t="s">
        <v>14</v>
      </c>
      <c r="E359" s="114">
        <v>211</v>
      </c>
      <c r="F359" s="114">
        <v>0</v>
      </c>
      <c r="G359" s="114">
        <v>2172</v>
      </c>
      <c r="H359" s="115">
        <f t="shared" si="160"/>
        <v>2383</v>
      </c>
      <c r="I359" s="291">
        <v>0</v>
      </c>
      <c r="J359" s="153">
        <f t="shared" si="161"/>
        <v>0</v>
      </c>
    </row>
    <row r="360" spans="1:10" s="116" customFormat="1" ht="24.95" customHeight="1">
      <c r="A360" s="109" t="s">
        <v>29</v>
      </c>
      <c r="B360" s="309" t="s">
        <v>121</v>
      </c>
      <c r="C360" s="309"/>
      <c r="D360" s="109" t="s">
        <v>14</v>
      </c>
      <c r="E360" s="114">
        <v>91</v>
      </c>
      <c r="F360" s="114">
        <v>0</v>
      </c>
      <c r="G360" s="114">
        <v>1086</v>
      </c>
      <c r="H360" s="115">
        <f t="shared" si="160"/>
        <v>1177</v>
      </c>
      <c r="I360" s="291">
        <v>0</v>
      </c>
      <c r="J360" s="153">
        <f t="shared" si="161"/>
        <v>0</v>
      </c>
    </row>
    <row r="361" spans="1:10" s="116" customFormat="1" ht="24.95" customHeight="1">
      <c r="A361" s="109" t="s">
        <v>28</v>
      </c>
      <c r="B361" s="309" t="s">
        <v>131</v>
      </c>
      <c r="C361" s="309"/>
      <c r="D361" s="109" t="s">
        <v>15</v>
      </c>
      <c r="E361" s="114">
        <v>9.1</v>
      </c>
      <c r="F361" s="114">
        <v>0</v>
      </c>
      <c r="G361" s="114">
        <v>108.60000000000001</v>
      </c>
      <c r="H361" s="115">
        <f t="shared" si="160"/>
        <v>117.7</v>
      </c>
      <c r="I361" s="291">
        <v>0</v>
      </c>
      <c r="J361" s="153">
        <f t="shared" si="161"/>
        <v>0</v>
      </c>
    </row>
    <row r="362" spans="1:10" s="116" customFormat="1" ht="24.95" customHeight="1">
      <c r="A362" s="139"/>
      <c r="B362" s="310" t="s">
        <v>355</v>
      </c>
      <c r="C362" s="310"/>
      <c r="D362" s="293"/>
      <c r="E362" s="293"/>
      <c r="F362" s="293"/>
      <c r="G362" s="293"/>
      <c r="H362" s="293"/>
      <c r="I362" s="294"/>
      <c r="J362" s="295">
        <f>SUM(J357:J361)</f>
        <v>0</v>
      </c>
    </row>
    <row r="363" spans="1:10" s="116" customFormat="1" ht="24.95" customHeight="1">
      <c r="A363" s="35"/>
      <c r="B363" s="311" t="s">
        <v>356</v>
      </c>
      <c r="C363" s="311"/>
      <c r="D363" s="311"/>
      <c r="E363" s="311"/>
      <c r="F363" s="311"/>
      <c r="G363" s="311"/>
      <c r="H363" s="311"/>
      <c r="I363" s="311"/>
      <c r="J363" s="311"/>
    </row>
    <row r="364" spans="1:10" s="116" customFormat="1" ht="24.95" customHeight="1">
      <c r="A364" s="210" t="s">
        <v>27</v>
      </c>
      <c r="B364" s="307" t="s">
        <v>318</v>
      </c>
      <c r="C364" s="307"/>
      <c r="D364" s="135" t="s">
        <v>14</v>
      </c>
      <c r="E364" s="114">
        <v>160</v>
      </c>
      <c r="F364" s="114">
        <v>3640.6</v>
      </c>
      <c r="G364" s="109">
        <v>0</v>
      </c>
      <c r="H364" s="115">
        <f aca="true" t="shared" si="162" ref="H364">SUM(E364:G364)</f>
        <v>3800.6</v>
      </c>
      <c r="I364" s="193">
        <v>0</v>
      </c>
      <c r="J364" s="286">
        <f aca="true" t="shared" si="163" ref="J364">I364*H364</f>
        <v>0</v>
      </c>
    </row>
    <row r="365" spans="1:10" s="116" customFormat="1" ht="24.95" customHeight="1">
      <c r="A365" s="210"/>
      <c r="B365" s="312" t="s">
        <v>357</v>
      </c>
      <c r="C365" s="312"/>
      <c r="D365" s="287"/>
      <c r="E365" s="288"/>
      <c r="F365" s="288"/>
      <c r="G365" s="288"/>
      <c r="H365" s="288"/>
      <c r="I365" s="289"/>
      <c r="J365" s="290">
        <f>SUM(J364:J364)</f>
        <v>0</v>
      </c>
    </row>
    <row r="366" spans="1:10" s="117" customFormat="1" ht="24.95" customHeight="1">
      <c r="A366" s="296" t="s">
        <v>27</v>
      </c>
      <c r="B366" s="313" t="s">
        <v>358</v>
      </c>
      <c r="C366" s="314"/>
      <c r="D366" s="134" t="s">
        <v>196</v>
      </c>
      <c r="E366" s="315">
        <v>2</v>
      </c>
      <c r="F366" s="316"/>
      <c r="G366" s="316"/>
      <c r="H366" s="317"/>
      <c r="I366" s="297">
        <v>0</v>
      </c>
      <c r="J366" s="298">
        <f>E366*I366</f>
        <v>0</v>
      </c>
    </row>
    <row r="367" spans="1:10" s="20" customFormat="1" ht="35.1" customHeight="1">
      <c r="A367" s="299"/>
      <c r="B367" s="306" t="s">
        <v>359</v>
      </c>
      <c r="C367" s="306"/>
      <c r="D367" s="306"/>
      <c r="E367" s="306"/>
      <c r="F367" s="306"/>
      <c r="G367" s="306"/>
      <c r="H367" s="306"/>
      <c r="I367" s="306"/>
      <c r="J367" s="300">
        <f>SUM(J366,J362,J355,J365)</f>
        <v>0</v>
      </c>
    </row>
    <row r="368" spans="1:10" ht="37.5" customHeight="1">
      <c r="A368" s="301"/>
      <c r="B368" s="350" t="s">
        <v>275</v>
      </c>
      <c r="C368" s="350"/>
      <c r="D368" s="350"/>
      <c r="E368" s="350"/>
      <c r="F368" s="350"/>
      <c r="G368" s="350"/>
      <c r="H368" s="350"/>
      <c r="I368" s="350"/>
      <c r="J368" s="350"/>
    </row>
    <row r="369" spans="1:10" s="15" customFormat="1" ht="24.95" customHeight="1">
      <c r="A369" s="326"/>
      <c r="B369" s="327" t="s">
        <v>7</v>
      </c>
      <c r="C369" s="327"/>
      <c r="D369" s="327" t="s">
        <v>156</v>
      </c>
      <c r="E369" s="328" t="s">
        <v>97</v>
      </c>
      <c r="F369" s="328"/>
      <c r="G369" s="328"/>
      <c r="H369" s="328"/>
      <c r="I369" s="329" t="s">
        <v>4</v>
      </c>
      <c r="J369" s="330" t="s">
        <v>98</v>
      </c>
    </row>
    <row r="370" spans="1:10" s="6" customFormat="1" ht="32.45" customHeight="1">
      <c r="A370" s="326"/>
      <c r="B370" s="327"/>
      <c r="C370" s="327"/>
      <c r="D370" s="327"/>
      <c r="E370" s="138" t="s">
        <v>200</v>
      </c>
      <c r="F370" s="138" t="s">
        <v>201</v>
      </c>
      <c r="G370" s="138" t="s">
        <v>324</v>
      </c>
      <c r="H370" s="110" t="s">
        <v>8</v>
      </c>
      <c r="I370" s="329"/>
      <c r="J370" s="330"/>
    </row>
    <row r="371" spans="1:10" s="8" customFormat="1" ht="24.95" customHeight="1">
      <c r="A371" s="135"/>
      <c r="B371" s="351" t="s">
        <v>260</v>
      </c>
      <c r="C371" s="351"/>
      <c r="D371" s="351"/>
      <c r="E371" s="351"/>
      <c r="F371" s="351"/>
      <c r="G371" s="351"/>
      <c r="H371" s="351"/>
      <c r="I371" s="351"/>
      <c r="J371" s="351"/>
    </row>
    <row r="372" spans="1:10" s="8" customFormat="1" ht="24.95" customHeight="1">
      <c r="A372" s="135" t="s">
        <v>27</v>
      </c>
      <c r="B372" s="318" t="s">
        <v>262</v>
      </c>
      <c r="C372" s="318"/>
      <c r="D372" s="236" t="s">
        <v>196</v>
      </c>
      <c r="E372" s="114">
        <v>0</v>
      </c>
      <c r="F372" s="113">
        <v>1</v>
      </c>
      <c r="G372" s="114">
        <v>0</v>
      </c>
      <c r="H372" s="115">
        <f>SUM(E372:G372)</f>
        <v>1</v>
      </c>
      <c r="I372" s="193">
        <v>0</v>
      </c>
      <c r="J372" s="126">
        <f>H372*I372</f>
        <v>0</v>
      </c>
    </row>
    <row r="373" spans="1:10" ht="24.95" customHeight="1">
      <c r="A373" s="135"/>
      <c r="B373" s="352" t="s">
        <v>261</v>
      </c>
      <c r="C373" s="352"/>
      <c r="D373" s="175"/>
      <c r="E373" s="176"/>
      <c r="F373" s="176"/>
      <c r="G373" s="176"/>
      <c r="H373" s="302"/>
      <c r="I373" s="178"/>
      <c r="J373" s="179">
        <f>SUM(J372:J372)</f>
        <v>0</v>
      </c>
    </row>
    <row r="374" spans="1:10" s="8" customFormat="1" ht="24.95" customHeight="1">
      <c r="A374" s="135"/>
      <c r="B374" s="351" t="s">
        <v>267</v>
      </c>
      <c r="C374" s="351"/>
      <c r="D374" s="351"/>
      <c r="E374" s="351"/>
      <c r="F374" s="351"/>
      <c r="G374" s="351"/>
      <c r="H374" s="351"/>
      <c r="I374" s="351"/>
      <c r="J374" s="351"/>
    </row>
    <row r="375" spans="1:10" s="8" customFormat="1" ht="24.95" customHeight="1">
      <c r="A375" s="303" t="s">
        <v>28</v>
      </c>
      <c r="B375" s="318" t="s">
        <v>271</v>
      </c>
      <c r="C375" s="318"/>
      <c r="D375" s="236" t="s">
        <v>14</v>
      </c>
      <c r="E375" s="114">
        <v>0</v>
      </c>
      <c r="F375" s="113">
        <v>8</v>
      </c>
      <c r="G375" s="114">
        <v>0</v>
      </c>
      <c r="H375" s="115">
        <f>SUM(E375:G375)</f>
        <v>8</v>
      </c>
      <c r="I375" s="193">
        <v>0</v>
      </c>
      <c r="J375" s="126">
        <f>H375*I375</f>
        <v>0</v>
      </c>
    </row>
    <row r="376" spans="1:10" s="8" customFormat="1" ht="24.95" customHeight="1">
      <c r="A376" s="303" t="s">
        <v>27</v>
      </c>
      <c r="B376" s="318" t="s">
        <v>278</v>
      </c>
      <c r="C376" s="318"/>
      <c r="D376" s="236" t="s">
        <v>196</v>
      </c>
      <c r="E376" s="114">
        <v>0</v>
      </c>
      <c r="F376" s="113">
        <v>1</v>
      </c>
      <c r="G376" s="114">
        <v>0</v>
      </c>
      <c r="H376" s="115">
        <f>SUM(E376:G376)</f>
        <v>1</v>
      </c>
      <c r="I376" s="193">
        <v>0</v>
      </c>
      <c r="J376" s="126">
        <f aca="true" t="shared" si="164" ref="J376:J377">H376*I376</f>
        <v>0</v>
      </c>
    </row>
    <row r="377" spans="1:10" s="8" customFormat="1" ht="24.95" customHeight="1">
      <c r="A377" s="303" t="s">
        <v>27</v>
      </c>
      <c r="B377" s="318" t="s">
        <v>279</v>
      </c>
      <c r="C377" s="318"/>
      <c r="D377" s="236" t="s">
        <v>196</v>
      </c>
      <c r="E377" s="114">
        <v>0</v>
      </c>
      <c r="F377" s="113">
        <v>1</v>
      </c>
      <c r="G377" s="114">
        <v>0</v>
      </c>
      <c r="H377" s="115">
        <f>SUM(E377:G377)</f>
        <v>1</v>
      </c>
      <c r="I377" s="193">
        <v>0</v>
      </c>
      <c r="J377" s="126">
        <f t="shared" si="164"/>
        <v>0</v>
      </c>
    </row>
    <row r="378" spans="1:10" ht="24.95" customHeight="1">
      <c r="A378" s="135"/>
      <c r="B378" s="352" t="s">
        <v>268</v>
      </c>
      <c r="C378" s="352"/>
      <c r="D378" s="175"/>
      <c r="E378" s="176"/>
      <c r="F378" s="176"/>
      <c r="G378" s="176"/>
      <c r="H378" s="304"/>
      <c r="I378" s="178"/>
      <c r="J378" s="179">
        <f>SUM(J375:J377)</f>
        <v>0</v>
      </c>
    </row>
    <row r="379" spans="1:10" ht="37.5" customHeight="1">
      <c r="A379" s="301"/>
      <c r="B379" s="350" t="s">
        <v>276</v>
      </c>
      <c r="C379" s="350"/>
      <c r="D379" s="350"/>
      <c r="E379" s="350"/>
      <c r="F379" s="350"/>
      <c r="G379" s="350"/>
      <c r="H379" s="350"/>
      <c r="I379" s="350"/>
      <c r="J379" s="305">
        <f>SUM(J378,J373)</f>
        <v>0</v>
      </c>
    </row>
    <row r="380" spans="1:10" ht="24.95" customHeight="1">
      <c r="A380" s="29"/>
      <c r="B380" s="342" t="s">
        <v>132</v>
      </c>
      <c r="C380" s="343"/>
      <c r="D380" s="343"/>
      <c r="E380" s="343"/>
      <c r="F380" s="343"/>
      <c r="G380" s="343"/>
      <c r="H380" s="343"/>
      <c r="I380" s="343"/>
      <c r="J380" s="344"/>
    </row>
    <row r="381" spans="1:10" ht="24.95" customHeight="1">
      <c r="A381" s="29"/>
      <c r="B381" s="345" t="s">
        <v>341</v>
      </c>
      <c r="C381" s="346"/>
      <c r="D381" s="346"/>
      <c r="E381" s="346"/>
      <c r="F381" s="346"/>
      <c r="G381" s="346"/>
      <c r="H381" s="346"/>
      <c r="I381" s="346"/>
      <c r="J381" s="347"/>
    </row>
    <row r="382" spans="1:10" ht="24.95" customHeight="1">
      <c r="A382" s="10"/>
      <c r="D382" s="9"/>
      <c r="E382" s="96"/>
      <c r="F382" s="96"/>
      <c r="G382" s="96"/>
      <c r="H382" s="97"/>
      <c r="I382" s="11"/>
      <c r="J382" s="22"/>
    </row>
    <row r="383" spans="1:9" ht="12.75">
      <c r="A383" s="25"/>
      <c r="B383" s="25"/>
      <c r="C383" s="25"/>
      <c r="D383" s="25"/>
      <c r="E383" s="25"/>
      <c r="F383" s="25"/>
      <c r="G383" s="25"/>
      <c r="H383" s="25"/>
      <c r="I383" s="25"/>
    </row>
  </sheetData>
  <sheetProtection selectLockedCells="1" selectUnlockedCells="1"/>
  <mergeCells count="361">
    <mergeCell ref="A136:A137"/>
    <mergeCell ref="B169:C169"/>
    <mergeCell ref="B168:C168"/>
    <mergeCell ref="E172:H172"/>
    <mergeCell ref="B158:I158"/>
    <mergeCell ref="B159:I159"/>
    <mergeCell ref="B156:C156"/>
    <mergeCell ref="B155:J155"/>
    <mergeCell ref="B157:C157"/>
    <mergeCell ref="B170:C170"/>
    <mergeCell ref="A161:A162"/>
    <mergeCell ref="B171:C171"/>
    <mergeCell ref="E136:H136"/>
    <mergeCell ref="B145:C145"/>
    <mergeCell ref="B146:C146"/>
    <mergeCell ref="B147:J147"/>
    <mergeCell ref="B154:C154"/>
    <mergeCell ref="B151:J151"/>
    <mergeCell ref="J136:J137"/>
    <mergeCell ref="B136:C137"/>
    <mergeCell ref="D136:D137"/>
    <mergeCell ref="B140:C140"/>
    <mergeCell ref="E178:H178"/>
    <mergeCell ref="B179:C179"/>
    <mergeCell ref="A182:A183"/>
    <mergeCell ref="B182:C183"/>
    <mergeCell ref="D182:D183"/>
    <mergeCell ref="E182:H182"/>
    <mergeCell ref="I182:I183"/>
    <mergeCell ref="B172:C172"/>
    <mergeCell ref="B173:C173"/>
    <mergeCell ref="B213:C213"/>
    <mergeCell ref="B185:C185"/>
    <mergeCell ref="B193:C193"/>
    <mergeCell ref="B189:C189"/>
    <mergeCell ref="B197:C197"/>
    <mergeCell ref="J198:J199"/>
    <mergeCell ref="E278:H278"/>
    <mergeCell ref="B148:C148"/>
    <mergeCell ref="B153:C153"/>
    <mergeCell ref="B149:C149"/>
    <mergeCell ref="B152:C152"/>
    <mergeCell ref="B165:C165"/>
    <mergeCell ref="B166:C166"/>
    <mergeCell ref="B167:C167"/>
    <mergeCell ref="B164:J164"/>
    <mergeCell ref="B163:J163"/>
    <mergeCell ref="E161:H161"/>
    <mergeCell ref="I161:I162"/>
    <mergeCell ref="J161:J162"/>
    <mergeCell ref="B161:C162"/>
    <mergeCell ref="D161:D162"/>
    <mergeCell ref="B160:J160"/>
    <mergeCell ref="J182:J183"/>
    <mergeCell ref="B178:C178"/>
    <mergeCell ref="I258:I259"/>
    <mergeCell ref="J258:J259"/>
    <mergeCell ref="B174:J174"/>
    <mergeCell ref="B175:C175"/>
    <mergeCell ref="B176:C176"/>
    <mergeCell ref="B177:C177"/>
    <mergeCell ref="B191:C191"/>
    <mergeCell ref="B184:J184"/>
    <mergeCell ref="B186:C186"/>
    <mergeCell ref="B204:C204"/>
    <mergeCell ref="B203:C203"/>
    <mergeCell ref="B208:C208"/>
    <mergeCell ref="B222:C222"/>
    <mergeCell ref="B200:J200"/>
    <mergeCell ref="B215:C215"/>
    <mergeCell ref="B207:C207"/>
    <mergeCell ref="B206:C206"/>
    <mergeCell ref="B201:C201"/>
    <mergeCell ref="B202:C202"/>
    <mergeCell ref="B188:C188"/>
    <mergeCell ref="J228:J229"/>
    <mergeCell ref="B190:C190"/>
    <mergeCell ref="B195:C195"/>
    <mergeCell ref="B187:C187"/>
    <mergeCell ref="B316:J316"/>
    <mergeCell ref="E198:H198"/>
    <mergeCell ref="I198:I199"/>
    <mergeCell ref="B287:C287"/>
    <mergeCell ref="B181:J181"/>
    <mergeCell ref="B180:I180"/>
    <mergeCell ref="B205:C205"/>
    <mergeCell ref="B211:C211"/>
    <mergeCell ref="B210:C210"/>
    <mergeCell ref="B313:C313"/>
    <mergeCell ref="B302:C302"/>
    <mergeCell ref="I228:I229"/>
    <mergeCell ref="B217:C217"/>
    <mergeCell ref="B224:C224"/>
    <mergeCell ref="B219:C219"/>
    <mergeCell ref="B246:C246"/>
    <mergeCell ref="B251:C251"/>
    <mergeCell ref="B238:C238"/>
    <mergeCell ref="B243:C243"/>
    <mergeCell ref="B234:C234"/>
    <mergeCell ref="B235:C235"/>
    <mergeCell ref="B237:C237"/>
    <mergeCell ref="B278:C279"/>
    <mergeCell ref="D278:D279"/>
    <mergeCell ref="B56:I56"/>
    <mergeCell ref="B54:I54"/>
    <mergeCell ref="B52:I52"/>
    <mergeCell ref="B50:I50"/>
    <mergeCell ref="B117:C117"/>
    <mergeCell ref="B118:C118"/>
    <mergeCell ref="B91:J91"/>
    <mergeCell ref="B102:C102"/>
    <mergeCell ref="B88:C88"/>
    <mergeCell ref="B89:B90"/>
    <mergeCell ref="C89:C90"/>
    <mergeCell ref="D89:D90"/>
    <mergeCell ref="B109:C110"/>
    <mergeCell ref="I109:I110"/>
    <mergeCell ref="J109:J110"/>
    <mergeCell ref="D109:D110"/>
    <mergeCell ref="B111:J111"/>
    <mergeCell ref="B29:I29"/>
    <mergeCell ref="B61:J61"/>
    <mergeCell ref="B64:J64"/>
    <mergeCell ref="E109:H109"/>
    <mergeCell ref="B108:J108"/>
    <mergeCell ref="B119:C119"/>
    <mergeCell ref="B126:C126"/>
    <mergeCell ref="B127:C127"/>
    <mergeCell ref="B144:C144"/>
    <mergeCell ref="B141:C141"/>
    <mergeCell ref="B139:J139"/>
    <mergeCell ref="B142:C142"/>
    <mergeCell ref="B134:C134"/>
    <mergeCell ref="B135:C135"/>
    <mergeCell ref="B138:C138"/>
    <mergeCell ref="B143:J143"/>
    <mergeCell ref="B130:C130"/>
    <mergeCell ref="B105:C105"/>
    <mergeCell ref="B132:C132"/>
    <mergeCell ref="B133:J133"/>
    <mergeCell ref="B112:J112"/>
    <mergeCell ref="B125:J125"/>
    <mergeCell ref="B129:J129"/>
    <mergeCell ref="I136:I137"/>
    <mergeCell ref="B128:C128"/>
    <mergeCell ref="B131:C131"/>
    <mergeCell ref="B113:C113"/>
    <mergeCell ref="B114:C114"/>
    <mergeCell ref="B115:C115"/>
    <mergeCell ref="A109:A110"/>
    <mergeCell ref="B121:C121"/>
    <mergeCell ref="B122:C122"/>
    <mergeCell ref="B123:C123"/>
    <mergeCell ref="B120:J120"/>
    <mergeCell ref="B124:J124"/>
    <mergeCell ref="B317:C317"/>
    <mergeCell ref="B318:C318"/>
    <mergeCell ref="B228:C229"/>
    <mergeCell ref="B292:C292"/>
    <mergeCell ref="C3:F3"/>
    <mergeCell ref="C4:F4"/>
    <mergeCell ref="C5:F5"/>
    <mergeCell ref="C7:E7"/>
    <mergeCell ref="C8:E8"/>
    <mergeCell ref="C9:E9"/>
    <mergeCell ref="C34:F34"/>
    <mergeCell ref="B245:C245"/>
    <mergeCell ref="B192:C192"/>
    <mergeCell ref="B194:C194"/>
    <mergeCell ref="D198:D199"/>
    <mergeCell ref="B196:C196"/>
    <mergeCell ref="B116:J116"/>
    <mergeCell ref="B249:C249"/>
    <mergeCell ref="B236:C236"/>
    <mergeCell ref="B254:C254"/>
    <mergeCell ref="B247:C247"/>
    <mergeCell ref="B248:C248"/>
    <mergeCell ref="B250:C250"/>
    <mergeCell ref="B252:C252"/>
    <mergeCell ref="A198:A199"/>
    <mergeCell ref="B198:C199"/>
    <mergeCell ref="B231:C231"/>
    <mergeCell ref="B297:I297"/>
    <mergeCell ref="B232:C232"/>
    <mergeCell ref="B214:C214"/>
    <mergeCell ref="B283:C283"/>
    <mergeCell ref="B288:C288"/>
    <mergeCell ref="B291:C291"/>
    <mergeCell ref="B263:C263"/>
    <mergeCell ref="B260:J260"/>
    <mergeCell ref="B280:J280"/>
    <mergeCell ref="B285:C285"/>
    <mergeCell ref="B286:C286"/>
    <mergeCell ref="B262:C262"/>
    <mergeCell ref="B261:C261"/>
    <mergeCell ref="B269:C269"/>
    <mergeCell ref="B273:C273"/>
    <mergeCell ref="B271:C271"/>
    <mergeCell ref="D228:D229"/>
    <mergeCell ref="E228:H228"/>
    <mergeCell ref="B239:C239"/>
    <mergeCell ref="B253:C253"/>
    <mergeCell ref="B244:C244"/>
    <mergeCell ref="J369:J370"/>
    <mergeCell ref="B257:C257"/>
    <mergeCell ref="B311:C311"/>
    <mergeCell ref="B274:C274"/>
    <mergeCell ref="B296:C296"/>
    <mergeCell ref="B281:C281"/>
    <mergeCell ref="B282:C282"/>
    <mergeCell ref="J278:J279"/>
    <mergeCell ref="I278:I279"/>
    <mergeCell ref="B277:C277"/>
    <mergeCell ref="B275:C275"/>
    <mergeCell ref="B294:C294"/>
    <mergeCell ref="B307:C307"/>
    <mergeCell ref="B319:C319"/>
    <mergeCell ref="B304:C304"/>
    <mergeCell ref="B309:J309"/>
    <mergeCell ref="E319:H319"/>
    <mergeCell ref="B320:I320"/>
    <mergeCell ref="B268:C268"/>
    <mergeCell ref="B305:C305"/>
    <mergeCell ref="B310:C310"/>
    <mergeCell ref="B315:C315"/>
    <mergeCell ref="B312:C312"/>
    <mergeCell ref="J299:J300"/>
    <mergeCell ref="A62:A63"/>
    <mergeCell ref="B62:B63"/>
    <mergeCell ref="C62:C63"/>
    <mergeCell ref="B107:I107"/>
    <mergeCell ref="J62:J63"/>
    <mergeCell ref="I62:I63"/>
    <mergeCell ref="D62:D63"/>
    <mergeCell ref="B72:C72"/>
    <mergeCell ref="E62:H62"/>
    <mergeCell ref="B78:J78"/>
    <mergeCell ref="B106:C106"/>
    <mergeCell ref="B99:J99"/>
    <mergeCell ref="A89:A90"/>
    <mergeCell ref="B77:C77"/>
    <mergeCell ref="B73:J73"/>
    <mergeCell ref="E89:H89"/>
    <mergeCell ref="I89:I90"/>
    <mergeCell ref="J89:J90"/>
    <mergeCell ref="B98:C98"/>
    <mergeCell ref="B103:J103"/>
    <mergeCell ref="B298:J298"/>
    <mergeCell ref="B301:J301"/>
    <mergeCell ref="B308:C308"/>
    <mergeCell ref="B303:C303"/>
    <mergeCell ref="B266:C266"/>
    <mergeCell ref="B270:C270"/>
    <mergeCell ref="B272:C272"/>
    <mergeCell ref="B295:C295"/>
    <mergeCell ref="B293:C293"/>
    <mergeCell ref="B290:C290"/>
    <mergeCell ref="B289:C289"/>
    <mergeCell ref="B380:J380"/>
    <mergeCell ref="B381:J381"/>
    <mergeCell ref="B264:C264"/>
    <mergeCell ref="B314:C314"/>
    <mergeCell ref="A278:A279"/>
    <mergeCell ref="A299:A300"/>
    <mergeCell ref="B299:C300"/>
    <mergeCell ref="B267:C267"/>
    <mergeCell ref="B377:C377"/>
    <mergeCell ref="A369:A370"/>
    <mergeCell ref="B369:C370"/>
    <mergeCell ref="D369:D370"/>
    <mergeCell ref="E369:H369"/>
    <mergeCell ref="B379:I379"/>
    <mergeCell ref="B374:J374"/>
    <mergeCell ref="B368:J368"/>
    <mergeCell ref="B373:C373"/>
    <mergeCell ref="B375:C375"/>
    <mergeCell ref="B378:C378"/>
    <mergeCell ref="B371:J371"/>
    <mergeCell ref="B372:C372"/>
    <mergeCell ref="B376:C376"/>
    <mergeCell ref="I369:I370"/>
    <mergeCell ref="B306:C306"/>
    <mergeCell ref="B321:J321"/>
    <mergeCell ref="A228:A229"/>
    <mergeCell ref="B216:C216"/>
    <mergeCell ref="B209:C209"/>
    <mergeCell ref="D299:D300"/>
    <mergeCell ref="E299:H299"/>
    <mergeCell ref="I299:I300"/>
    <mergeCell ref="B242:C242"/>
    <mergeCell ref="B212:C212"/>
    <mergeCell ref="B223:C223"/>
    <mergeCell ref="B241:C241"/>
    <mergeCell ref="B233:C233"/>
    <mergeCell ref="B227:C227"/>
    <mergeCell ref="B230:J230"/>
    <mergeCell ref="B220:C220"/>
    <mergeCell ref="B240:C240"/>
    <mergeCell ref="B218:C218"/>
    <mergeCell ref="B221:C221"/>
    <mergeCell ref="B258:C259"/>
    <mergeCell ref="A258:A259"/>
    <mergeCell ref="B276:C276"/>
    <mergeCell ref="D258:D259"/>
    <mergeCell ref="E258:H258"/>
    <mergeCell ref="B265:C265"/>
    <mergeCell ref="A322:A323"/>
    <mergeCell ref="B322:C323"/>
    <mergeCell ref="D322:D323"/>
    <mergeCell ref="E322:H322"/>
    <mergeCell ref="I322:I323"/>
    <mergeCell ref="J322:J323"/>
    <mergeCell ref="B324:J324"/>
    <mergeCell ref="B325:C325"/>
    <mergeCell ref="B326:C326"/>
    <mergeCell ref="A345:A346"/>
    <mergeCell ref="B345:C346"/>
    <mergeCell ref="D345:D346"/>
    <mergeCell ref="E345:H345"/>
    <mergeCell ref="I345:I346"/>
    <mergeCell ref="J345:J346"/>
    <mergeCell ref="B347:J347"/>
    <mergeCell ref="B348:C348"/>
    <mergeCell ref="B336:C336"/>
    <mergeCell ref="B337:C337"/>
    <mergeCell ref="B338:C338"/>
    <mergeCell ref="B339:J339"/>
    <mergeCell ref="B340:C340"/>
    <mergeCell ref="B341:C341"/>
    <mergeCell ref="B342:C342"/>
    <mergeCell ref="E342:H342"/>
    <mergeCell ref="B343:I343"/>
    <mergeCell ref="B349:C349"/>
    <mergeCell ref="B350:C350"/>
    <mergeCell ref="B352:C352"/>
    <mergeCell ref="B355:C355"/>
    <mergeCell ref="B356:J356"/>
    <mergeCell ref="B357:C357"/>
    <mergeCell ref="B358:C358"/>
    <mergeCell ref="B344:J344"/>
    <mergeCell ref="B327:C327"/>
    <mergeCell ref="B328:C328"/>
    <mergeCell ref="B329:C329"/>
    <mergeCell ref="B330:C330"/>
    <mergeCell ref="B331:C331"/>
    <mergeCell ref="B332:J332"/>
    <mergeCell ref="B333:C333"/>
    <mergeCell ref="B334:C334"/>
    <mergeCell ref="B335:C335"/>
    <mergeCell ref="B367:I367"/>
    <mergeCell ref="B353:C353"/>
    <mergeCell ref="B354:C354"/>
    <mergeCell ref="B359:C359"/>
    <mergeCell ref="B360:C360"/>
    <mergeCell ref="B361:C361"/>
    <mergeCell ref="B362:C362"/>
    <mergeCell ref="B363:J363"/>
    <mergeCell ref="B364:C364"/>
    <mergeCell ref="B365:C365"/>
    <mergeCell ref="B366:C366"/>
    <mergeCell ref="E366:H366"/>
  </mergeCells>
  <printOptions/>
  <pageMargins left="0.3937007874015748" right="0.31496062992125984" top="0.3937007874015748" bottom="0.3937007874015748" header="0.5118110236220472" footer="0.5118110236220472"/>
  <pageSetup fitToHeight="0" fitToWidth="1" horizontalDpi="300" verticalDpi="300" orientation="landscape" paperSize="9" scale="63" r:id="rId1"/>
  <rowBreaks count="15" manualBreakCount="15">
    <brk id="31" max="16383" man="1"/>
    <brk id="60" max="16383" man="1"/>
    <brk id="88" max="16383" man="1"/>
    <brk id="107" max="16383" man="1"/>
    <brk id="135" max="16383" man="1"/>
    <brk id="159" max="16383" man="1"/>
    <brk id="180" max="16383" man="1"/>
    <brk id="197" max="16383" man="1"/>
    <brk id="227" max="16383" man="1"/>
    <brk id="257" max="16383" man="1"/>
    <brk id="277" max="16383" man="1"/>
    <brk id="297" max="16383" man="1"/>
    <brk id="320" max="16383" man="1"/>
    <brk id="343" max="16383" man="1"/>
    <brk id="3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smradoch</dc:creator>
  <cp:keywords/>
  <dc:description/>
  <cp:lastModifiedBy>Dotace Králův Dvůr - Ing. Alžběta Voříšková</cp:lastModifiedBy>
  <cp:lastPrinted>2023-12-08T10:14:20Z</cp:lastPrinted>
  <dcterms:created xsi:type="dcterms:W3CDTF">2014-02-15T18:10:23Z</dcterms:created>
  <dcterms:modified xsi:type="dcterms:W3CDTF">2024-01-17T13:12:37Z</dcterms:modified>
  <cp:category/>
  <cp:version/>
  <cp:contentType/>
  <cp:contentStatus/>
</cp:coreProperties>
</file>