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16" yWindow="65416" windowWidth="20730" windowHeight="11760" tabRatio="429" activeTab="0"/>
  </bookViews>
  <sheets>
    <sheet name="VÝKAZ VÝMĚR" sheetId="1" r:id="rId1"/>
  </sheets>
  <definedNames>
    <definedName name="__xlnm.Print_Area_1">'VÝKAZ VÝMĚR'!$A$65:$L$519</definedName>
    <definedName name="Excel_BuiltIn_Print_Area_1_1">'VÝKAZ VÝMĚR'!$A$65:$L$519</definedName>
    <definedName name="Excel_BuiltIn_Print_Area_1_1_1">'VÝKAZ VÝMĚR'!$A$65:$L$519</definedName>
    <definedName name="Excel_BuiltIn_Print_Area_1_1_1_1">'VÝKAZ VÝMĚR'!$A$138:$L$519</definedName>
    <definedName name="Excel_BuiltIn_Print_Area_2">"#REF!"</definedName>
    <definedName name="Excel_BuiltIn_Print_Area_2_1">"#REF!"</definedName>
    <definedName name="_xlnm.Print_Area" localSheetId="0">'VÝKAZ VÝMĚR'!$A$1:$L$521</definedName>
  </definedNames>
  <calcPr calcId="152511"/>
  <extLst/>
</workbook>
</file>

<file path=xl/sharedStrings.xml><?xml version="1.0" encoding="utf-8"?>
<sst xmlns="http://schemas.openxmlformats.org/spreadsheetml/2006/main" count="1289" uniqueCount="512">
  <si>
    <t>Náklady za rostlinný materiál</t>
  </si>
  <si>
    <t>latinský název</t>
  </si>
  <si>
    <t>český název</t>
  </si>
  <si>
    <t>výsadbová velikost</t>
  </si>
  <si>
    <t>cena za kus</t>
  </si>
  <si>
    <t>Celkem za rostlinný materiál bez DPH</t>
  </si>
  <si>
    <t>levandule lékařská</t>
  </si>
  <si>
    <t xml:space="preserve">název </t>
  </si>
  <si>
    <t>celkem</t>
  </si>
  <si>
    <t>ks</t>
  </si>
  <si>
    <t>Odstranění pařezu o průměru do 200 mm do hloubky min. 30 cm   průměru kmene, vč. likvidace vytěženého odpadu</t>
  </si>
  <si>
    <t>Odstranění pařezu o průměru 200 - 300 mm do hloubky min. 30 cm, vč. likvidace vytěženého odpadu</t>
  </si>
  <si>
    <t>Odstranění pařezu o průměru 300 - 400 mm do hloubky min. 30 cm , vč. likvidace vytěženého odpadu</t>
  </si>
  <si>
    <t>Odstranění pařezu o průměru 500 - 600 mm do hloubky min. 30 cm , vč. likvidace vytěženého odpadu</t>
  </si>
  <si>
    <t>m2</t>
  </si>
  <si>
    <t>m3</t>
  </si>
  <si>
    <t xml:space="preserve">Příprava záhonů </t>
  </si>
  <si>
    <t xml:space="preserve">Příprava záhonů – celkem </t>
  </si>
  <si>
    <t>kg</t>
  </si>
  <si>
    <t>Výsadba alejového stromu s balem</t>
  </si>
  <si>
    <t xml:space="preserve">Založení trávníku zahradnickým způsobem včetně ceny osiva a první seče </t>
  </si>
  <si>
    <t xml:space="preserve">Založení trávníku zahradnickým způsobem včetně ceny osiva – celkem </t>
  </si>
  <si>
    <t>Hnojení půdy nebo trávníku v rovině nebo ve svahu 1:5 umělým hnojivem na široko</t>
  </si>
  <si>
    <t>t</t>
  </si>
  <si>
    <t>Položení mulčovací textílie proti prorůstnání plevelů kolem vysázených rostlin v rovině nebo na svahu 1:5</t>
  </si>
  <si>
    <t>Mulčování vysazených rostlin mulčovací kůrou, tloušťky do 100 mm na rovině nebo svahu do 1:5</t>
  </si>
  <si>
    <t>Zhotovení obalu kmene z rákosové nebo kokosové rohože v jedné vrstvě v rovině nebo na svahu do 1:5</t>
  </si>
  <si>
    <t>R</t>
  </si>
  <si>
    <t>specifikace</t>
  </si>
  <si>
    <t>184 91-1421</t>
  </si>
  <si>
    <t>184 50-1141</t>
  </si>
  <si>
    <t>185 80-2113</t>
  </si>
  <si>
    <t>Chemické odplevelení půdy před založením kultury, trávníku nebo zpevněných ploch o výměře přes 20 m2 v rovině nebo na svahu 1:5 postřikem na široko</t>
  </si>
  <si>
    <t>183 40-3153</t>
  </si>
  <si>
    <t>Odstranění nevhodných dřevin průměru kmene do 100 mm</t>
  </si>
  <si>
    <t xml:space="preserve">Odstranění nevhodných dřevin průměru kmene do 100 mm – celkem </t>
  </si>
  <si>
    <t>184 91-1311</t>
  </si>
  <si>
    <t>112 15-1311</t>
  </si>
  <si>
    <t>Pokácení stromu postupné (v rovině nebo svahu do 1:5)  do 200 mm průměru kmene, vč. odvozu dřevní hmoty</t>
  </si>
  <si>
    <t>112 20-1111</t>
  </si>
  <si>
    <t>112 15-1312</t>
  </si>
  <si>
    <t>Pokácení stromu postupné (v rovině nebo svahu do 1:5)  200 - 300 mm, vč. odvozu dřevní hmoty</t>
  </si>
  <si>
    <t>112 20-1112</t>
  </si>
  <si>
    <t>112 15-1313</t>
  </si>
  <si>
    <t>Pokácení stromu postupné (v rovině nebo svahu do 1:5)  300 - 400 mm, vč. odvozu dřevní hmoty</t>
  </si>
  <si>
    <t>112 20-1113</t>
  </si>
  <si>
    <t>112 15-1315</t>
  </si>
  <si>
    <t>Pokácení stromu postupné (v rovině nebo svahu do 1:5)  500 - 600 mm, vč. odvozu dřevní hmoty</t>
  </si>
  <si>
    <t>112 20-1115</t>
  </si>
  <si>
    <t>185 80-2114</t>
  </si>
  <si>
    <t>l</t>
  </si>
  <si>
    <t>183 10-1213</t>
  </si>
  <si>
    <t>Hloubení jamek pro vysazování rostlin v zemině 1 až 4 s výměnou půdy na 50 % v rovině nebo na svahu do 1:5, objemu přes 0,02 m3 do 0,05 m3</t>
  </si>
  <si>
    <t>184 21-5132</t>
  </si>
  <si>
    <t>Ukotvení dřeviny třemi kůly, délky přes 1 do 2 m průměru do 100 mm</t>
  </si>
  <si>
    <t>184 80-2111</t>
  </si>
  <si>
    <t>Dodání kůlů délky 2500 mm, průměru 60 mm (3 ks k jedné dřevině), vč. ceny dopravy materiálu</t>
  </si>
  <si>
    <t>Dodání příčníků délky 500 mm, průměru 60 mm (3 ks k jedné dřevině), vč. ceny dopravy materiálu</t>
  </si>
  <si>
    <t>Dodání úvazku (3 ks k jedné dřevině) , vč. ceny dopravy materiálu</t>
  </si>
  <si>
    <t>Dodávka kokosové rohože na zhotovení obalu kmene, vč. ceny dopravy materiálu</t>
  </si>
  <si>
    <t>Pokácení stromu postupné (v rovině nebo svahu do 1:5)  400 - 500 mm, vč. odvozu dřevní hmoty</t>
  </si>
  <si>
    <t>112 15-1314</t>
  </si>
  <si>
    <t>112 20-1114</t>
  </si>
  <si>
    <t xml:space="preserve">Výsadba kontejnerového keře </t>
  </si>
  <si>
    <t>184 21-5412</t>
  </si>
  <si>
    <t>Zhotovení závlahové mísy u soliterních dřevin v rovině nebo na svahu do 1:5, o průměru mísy přes 0,5 do 1 m</t>
  </si>
  <si>
    <t xml:space="preserve">Výsadba dřeviny s balem do předem vyhloubené jamky se zalitím v rovině nebo na svahu do 1:5, při průměru balu přes 200 do 300 mm </t>
  </si>
  <si>
    <t>184 10-2112</t>
  </si>
  <si>
    <t>Dodávka mulčovací textílie proti prorůstnání plevelů + 5 % překrytí, vč. ceny dopravy materiálu</t>
  </si>
  <si>
    <t>111 15-1121</t>
  </si>
  <si>
    <t>111 11-1411</t>
  </si>
  <si>
    <t xml:space="preserve">Obdělávání půdy hrabáním v rovině  nebo na svahu do 1:5 </t>
  </si>
  <si>
    <t>112 15-1317</t>
  </si>
  <si>
    <t>112 20-1117</t>
  </si>
  <si>
    <t>Odstranění pařezu o průměru  700 - 800 mm do hloubky min. 30 cm, vč. likvidace vytěženého odpadu</t>
  </si>
  <si>
    <t>Pokácení stromu (v rovině nebo svahu do 1:5)  600 - 700 mm, vč. odvozu dřevní hmoty</t>
  </si>
  <si>
    <t>Odstranění pařezu o průměru 600 - 700 mm do hloubky min. 30 cm , vč. likvidace vytěženého odpadu</t>
  </si>
  <si>
    <t>Pokácení stromu (v rovině nebo svahu do 1:5)  700 - 800 mm, vč. odvozu dřevní hmoty</t>
  </si>
  <si>
    <t>112 15-1316</t>
  </si>
  <si>
    <t>112 20-1116</t>
  </si>
  <si>
    <t>Hloubení jamek pro vysazování rostlin v zemině 1 až 4 s výměnou půdy na 50 % v rovině nebo na svahu do 1:5, objemu přes 0,01 do 0,02 m3</t>
  </si>
  <si>
    <t>184 10-2111</t>
  </si>
  <si>
    <t>Výsadba dřeviny s balem do předem vyhloubené jamky se zalitím v rovině nebo na svahu do 1:5, při průměru balu přes  100 mm do 200 mm</t>
  </si>
  <si>
    <t>Hloubení jamek pro vysazování rostlin v zemině 1 až 4 s výměnou půdy na 50 % na svahu  přes 1:2 do 1:1, objemu přes 0,01 m3 do 0,02 m3</t>
  </si>
  <si>
    <t>184 10-2131</t>
  </si>
  <si>
    <t xml:space="preserve">Výsadba dřeviny s balem do předem vyhloubené jamky se zalitím na svahu přes 1:2 do 1:1, při průměru balu přes 100 do 200 mm </t>
  </si>
  <si>
    <t>184 91-1313</t>
  </si>
  <si>
    <t>Položení mulčovací textílie proti prorůstnání plevelů kolem vysázených rostlin na svahu přes 1:2 do 1:1</t>
  </si>
  <si>
    <t>182 11-1111</t>
  </si>
  <si>
    <t>Zpevnění svahu jutovou, kokosovou nebo plastovou rohoží na svahu přes 1:2 do 1:1</t>
  </si>
  <si>
    <t>Chemické odplevelení půdy před založením kultury, trávníku nebo zpevněných ploch o výměře přes 20 m2 na svahu přes 1:2 do 1:1 postřikem na široko</t>
  </si>
  <si>
    <t>181 11-4711</t>
  </si>
  <si>
    <t>183 40-3114</t>
  </si>
  <si>
    <t>Obdělání půdy kultivátorováním, v rovině nebo na svahu do 1:5</t>
  </si>
  <si>
    <t xml:space="preserve">Dovoz materiálu do 20 km na místo </t>
  </si>
  <si>
    <t>181 30-1101</t>
  </si>
  <si>
    <t>Rozprostření a urovnání ornice v rovině nebo  ve svahu sklonu do 1:5, do 500 m2, tl. vrstvy do 100 mm</t>
  </si>
  <si>
    <t>Pokosení trávníku při souvislé ploše do 1 000 m2 parkového v rovině nebo svahu do 1:5, 3x</t>
  </si>
  <si>
    <t>111 11-1414</t>
  </si>
  <si>
    <t>Odstranění stařiny ze souvislé plochy do 100 m2 ve svahu přes 1:1</t>
  </si>
  <si>
    <t>Odstranění stařiny ze souvislé plochy do 100 m2 v rovině nebo ve svahu do 1:5</t>
  </si>
  <si>
    <t>Dodávka totální herbicid např. Roundup 0,0008 l, vč. ceny dopravy materiálu</t>
  </si>
  <si>
    <t>Dodávka mulčovací kůry tl. vrstvy 0,1 m, vč. ceny dopravy materiálu</t>
  </si>
  <si>
    <t xml:space="preserve">Dodání travního osiva (Parková směs) při výsevku 250 kg/ha </t>
  </si>
  <si>
    <t>Trávníkové hnojivo 30 g/m2, vč. ceny dopravy materiálu</t>
  </si>
  <si>
    <t>Pěstební substrát 0,01 m3 / 1 ks, včetně ceny dopravy materiálu</t>
  </si>
  <si>
    <t>Pěstební substrát  0,025 m3 / 1 ks, včetně ceny dopravy materiálu</t>
  </si>
  <si>
    <t>Hloubení jamek pro vysazování rostlin v zemině 1 až 4 s výměnou půdy na 50 % na svahu  přes 1:2 do 1:1, objemu přes 0,02 m3 do 0,05 m3</t>
  </si>
  <si>
    <t xml:space="preserve">Výsadba dřeviny s balem do předem vyhloubené jamky se zalitím na svahu přes 1:2 do 1:1, při průměru balu přes 200 do 300 mm </t>
  </si>
  <si>
    <t>183 10-5213</t>
  </si>
  <si>
    <t>184 10-2132</t>
  </si>
  <si>
    <t>Dodávka kokosové rohože 540 g/m2, + 5 % překrytí, včetně trnů na záhony ve svazích přes 1:2 do 1:1, vč. ceny dopravy materiálu</t>
  </si>
  <si>
    <t>Dodávka plastové chráničky proti okusu výšky 120 cm</t>
  </si>
  <si>
    <t>Ochrana dřevin před okusem zvěří mechanicky v rovině nebo ve svahu do 1:5, pletivem, výšky do 2 m</t>
  </si>
  <si>
    <t>184 81-3121</t>
  </si>
  <si>
    <t>počet kusů</t>
  </si>
  <si>
    <t>cena celkem bez DPH</t>
  </si>
  <si>
    <t>112 15-1111</t>
  </si>
  <si>
    <t>Pokácení stromu směrové v celku (v rovině nebo svahu do 1:5)  do 200 mm průměru kmene, vč. odvozu dřevní hmoty</t>
  </si>
  <si>
    <t>Kácení stromů směrové v celku s odřezáním kmene a s odvětvením</t>
  </si>
  <si>
    <t>Pokácení stromu směrové v celku (v rovině nebo svahu do 1:5)  200 - 300 mm, vč. odvozu dřevní hmoty</t>
  </si>
  <si>
    <t>Pokácení stromu směrové v celku (v rovině nebo svahu do 1:5)  300 - 400 mm, vč. odvozu dřevní hmoty</t>
  </si>
  <si>
    <t>Pokácení stromu směrové v celku (v rovině nebo svahu do 1:5)  600 - 700 mm, vč. odvozu dřevní hmoty</t>
  </si>
  <si>
    <t>Kácení stromů postupné bez spouštění částí kmene a koruny</t>
  </si>
  <si>
    <t>112 15-1112</t>
  </si>
  <si>
    <t>112 15-1113</t>
  </si>
  <si>
    <t>112 15-1116</t>
  </si>
  <si>
    <t>Výškový prořez stromů   prováděný lezeckou technikou</t>
  </si>
  <si>
    <t>do 30 m2</t>
  </si>
  <si>
    <t>přes 30 do 60 m2</t>
  </si>
  <si>
    <t>přes 60 do 90 m2</t>
  </si>
  <si>
    <t>přes 90 do 120 m2</t>
  </si>
  <si>
    <t>přes 150 do 180 m2</t>
  </si>
  <si>
    <t xml:space="preserve">Řez zdravotní, plocha koruny stromu </t>
  </si>
  <si>
    <t xml:space="preserve">Řez zdravotní  – celkem </t>
  </si>
  <si>
    <t>184 85-2211</t>
  </si>
  <si>
    <t>184 85-2212</t>
  </si>
  <si>
    <t>184 85-2213</t>
  </si>
  <si>
    <t>184 85-2214</t>
  </si>
  <si>
    <t>184 85-2216</t>
  </si>
  <si>
    <t>183 11-1214</t>
  </si>
  <si>
    <t>184 80-2311</t>
  </si>
  <si>
    <t>185 80-4514</t>
  </si>
  <si>
    <t>Založení trávníku na půdě předem připravené plochy do 1000 m2 výsevem včetně utažení parkového v rovině nebo na svahu do 1:5</t>
  </si>
  <si>
    <t>181 41-1131</t>
  </si>
  <si>
    <t>m</t>
  </si>
  <si>
    <t>184 91-11</t>
  </si>
  <si>
    <t>Zhotovení závlahové mísy u soliterních dřevin v rovině nebo na svahu do 1:5 o průměru mísy přes 0,5 do 1,0 m (1x / rok)</t>
  </si>
  <si>
    <t>184 85-2312</t>
  </si>
  <si>
    <t>185 80-4312</t>
  </si>
  <si>
    <t>Zalití rostlin vodou plochy záhonů přes 20 m2 (12x / rok, 20 l / m2)</t>
  </si>
  <si>
    <t>Mulčování vysazených rostlin mulčovací kůrou, tloušťky do 100 mm na rovině nebo svahu do 1:5 (1x / rok)</t>
  </si>
  <si>
    <t>184 80-6171</t>
  </si>
  <si>
    <t>* Hnojení půdy nebo trávníku v rovině nebo ve svahu 1:5 umělým hnojivem s rozdělením k jednotlivým rostlinám</t>
  </si>
  <si>
    <t>** Hnojení půdy nebo trávníku v rovině nebo ve svahu 1:5 umělým hnojivem s rozdělením k jednotlivým rostlinám</t>
  </si>
  <si>
    <t>Znovuuvázání dřeviny jedním úvazkem ke stávajícímu kůlu, vč. ceny úvazku (počítáno pro 50% dřevin)</t>
  </si>
  <si>
    <t>Řez stromů prováděný lezeckou technikou výchovný alejových stromů přes 4 m do 6 m (listnaté 1x / 3 roky)</t>
  </si>
  <si>
    <t>Hnojení tabletovým hnojivem s obsahem ureaformu hořčíku a stopových prvků  vč. Dodávky (1 ks tablet / nižší keř nebo půdopokryvná rostlina), vč. ceny dopravy materiálu</t>
  </si>
  <si>
    <t>Hnojení tabletovým hnojivem s obsahem ureaformu hořčíku a stopových prvků  vč. Dodávky (3 ks tablet / vyšší keř), vč. ceny dopravy materiálu</t>
  </si>
  <si>
    <t>Hnojení tabletovým hnojivem s obsahem ureaformu hořčíku a stopových prvků  vč. Dodávky (5 ks tablet / strom), vč. ceny dopravy materiálu</t>
  </si>
  <si>
    <t>Absorbční prostředek - práškový koncentrát  v dávce 10 g ke každému nižšímu keři nebo  půdopokryvné rostlině, vč. ceny dopravy materiálu</t>
  </si>
  <si>
    <t>Absorbční prostředek - práškový koncentrát  v dávce 20 g ke každému vyššímu keři, vč. ceny dopravy materiálu</t>
  </si>
  <si>
    <t>Absorbční prostředek - práškový koncentrát  v dávce 100 g ke každému stromu</t>
  </si>
  <si>
    <t>* Hnojení půdy pro rozpustné hnojivo s obsahem ureaformu hořčíku a stopových prvků</t>
  </si>
  <si>
    <t>** Hnojení půdy pro absorpční prostředek</t>
  </si>
  <si>
    <t>Dodávka totální herbicid v dávce  0,0008 l/m2 , vč. ceny dopravy materiálu</t>
  </si>
  <si>
    <t>Následná péče o výsadby v 1. roce</t>
  </si>
  <si>
    <t xml:space="preserve">Následná péče o výsadby v 1. roce - stromy </t>
  </si>
  <si>
    <t>Odplevelení výsadeb v rovině nebo na svahu do 1:5 souvislých keřových skupin včetně likvidace odpadu, naložení, odvezení a se složením (2x / rok)</t>
  </si>
  <si>
    <t>Následná péče o výsadby v 1. roce - stromy - celkem</t>
  </si>
  <si>
    <t xml:space="preserve">Následná péče o výsadby v 1. roce - keřové výsadby </t>
  </si>
  <si>
    <t>Následná péče o výsadby v 1. roce - keřové výsadby - celkem</t>
  </si>
  <si>
    <t>Následná péče o výsadby v 1. roce - celkem</t>
  </si>
  <si>
    <t>Následná péče o výsadby ve 2. roce</t>
  </si>
  <si>
    <t xml:space="preserve">Následná péče o výsadby ve 2. roce - stromy </t>
  </si>
  <si>
    <t>Následná péče o výsadby ve 2. roce - stromy - celkem</t>
  </si>
  <si>
    <t xml:space="preserve">Následná péče o výsadby ve 2. roce - keřové výsadby </t>
  </si>
  <si>
    <t>Následná péče o výsadby ve 2. roce - keřové výsadby - celkem</t>
  </si>
  <si>
    <t>Následná péče o výsadby ve 2. roce - celkem</t>
  </si>
  <si>
    <t>Následná péče o výsadby ve 3. roce</t>
  </si>
  <si>
    <t>184 21-5173</t>
  </si>
  <si>
    <t xml:space="preserve">Odstranění ukotvení dřeviny třemi kůly do 3 m </t>
  </si>
  <si>
    <t>Následná péče o výsadby ve 3. roce - stromy - celkem</t>
  </si>
  <si>
    <t xml:space="preserve">Následná péče o výsadby ve 3. roce - keřové výsadby </t>
  </si>
  <si>
    <t>Řez keřů zmlazením keřů netrnitých o pr. koruny do 1,5 m (1x / 3 roky)</t>
  </si>
  <si>
    <t>Následná péče o výsadby ve 3. roce - keřové výsadby - celkem</t>
  </si>
  <si>
    <t>Následná péče o výsadby ve 3. roce - celkem</t>
  </si>
  <si>
    <t xml:space="preserve">Následná péče o výsadby ve 3. roce - stromy </t>
  </si>
  <si>
    <t>184 80-6172</t>
  </si>
  <si>
    <t>Řez keřů zmlazením keřů netrnitých o pr. koruny přes 1,5 do 3 m (1x / 3 roky)</t>
  </si>
  <si>
    <t>Dodávka mulčovací kůry vrstva mulče 0,10 m, vč. ceny dopravy materiálu (1x / rok)</t>
  </si>
  <si>
    <t>Dodávka mulčovací kůry (vrstva mulče 0,10 m), vč. ceny dopravy materiálu</t>
  </si>
  <si>
    <t>pozn.: u každé dřeviny bude individuálně posouzen rozsah navrhovaného zásahu</t>
  </si>
  <si>
    <t>185 80-3111</t>
  </si>
  <si>
    <t xml:space="preserve">Ošetření trávníku jednorázově v rovině nebo na svahu do 1:5 (odplevelovací seč na vysoko s odstraněním posečené hmoty) </t>
  </si>
  <si>
    <t xml:space="preserve">Založení květnaté louky zahradnickým způsobem včetně ceny osiva – celkem </t>
  </si>
  <si>
    <t xml:space="preserve">Založení květnaté louky zahradnickým způsobem včetně ceny osiva a první seče </t>
  </si>
  <si>
    <t>Vytyčení rozmístění rostlin na záhony</t>
  </si>
  <si>
    <t>Vytyčení výsadeb stromů</t>
  </si>
  <si>
    <r>
      <t xml:space="preserve">Dodávka mulčovací textílie proti prorůstnání plevelů </t>
    </r>
    <r>
      <rPr>
        <sz val="10"/>
        <rFont val="Arial"/>
        <family val="2"/>
      </rPr>
      <t xml:space="preserve">+ 5 % </t>
    </r>
    <r>
      <rPr>
        <sz val="10"/>
        <color indexed="8"/>
        <rFont val="Arial"/>
        <family val="2"/>
      </rPr>
      <t>překrytí, vč. ceny dopravy materiálu</t>
    </r>
  </si>
  <si>
    <t>184 21-5432</t>
  </si>
  <si>
    <t>Zhotovení závlahové mísy u soliterních dřevin v rovině nebo na svahu přes 1:2 do 1:1, o průměru mísy přes 0,5 do 1 m</t>
  </si>
  <si>
    <t>Odstranění kamene z pozemku sebráním kamene, hmotnosti jednotlivě do 15 kg</t>
  </si>
  <si>
    <t>Založení trávníku na půdě předem připravené plochy do 1000 m2 výsevem včetně utažení lučního v rovině nebo na svahu do 1:5</t>
  </si>
  <si>
    <t>181 41 - 1121</t>
  </si>
  <si>
    <t>184 80-2631</t>
  </si>
  <si>
    <t>Vytyčení záhonů v prostoru</t>
  </si>
  <si>
    <t>Pokosení trávníku při souvislé ploše do 1 000 m2 lučního v rovině nebo svahu do 1:5</t>
  </si>
  <si>
    <t>111 15-1131</t>
  </si>
  <si>
    <t>Odstranění pařezu o průměru do 200 mm do hloubky min. 30 cm   průměru kmene, vč. likvidace vytěženého odpadu a doplnění zeminy</t>
  </si>
  <si>
    <t>Odstranění pařezu o průměru 200 - 300 mm do hloubky min. 30 cm, vč. likvidace vytěženého odpadu a doplnění zeminy</t>
  </si>
  <si>
    <t>Odstranění pařezu o průměru 300 - 400 mm do hloubky min. 30 cm , vč. likvidace vytěženého odpadu a doplnění zeminy</t>
  </si>
  <si>
    <t>Odstranění pařezu o průměru 400 - 500 mm do hloubky min. 30 cm , vč. likvidace vytěženého odpadu a doplnění zeminy</t>
  </si>
  <si>
    <t>Odstranění pařezu o průměru 600 - 700 mm do hloubky min. 30 cm , vč. likvidace vytěženého odpadu a doplnění zeminy</t>
  </si>
  <si>
    <t>Plošná úprava pláně a válcování</t>
  </si>
  <si>
    <t>Výkop lože pro komunikaci do hloubky 400 mm</t>
  </si>
  <si>
    <t>Dodávka tříděné zeminy bonity I. včetně dopravy</t>
  </si>
  <si>
    <t>přes 120 do 150 m2</t>
  </si>
  <si>
    <t>přes 180 do 210 m2</t>
  </si>
  <si>
    <t>184 85-2215</t>
  </si>
  <si>
    <t>184 85-2217</t>
  </si>
  <si>
    <t>m.j.</t>
  </si>
  <si>
    <t>Odvoz dřevní hmoty na místo určené obcí ke skladování</t>
  </si>
  <si>
    <t>Kácení stromu, průměr kmene 100 - 200 mm</t>
  </si>
  <si>
    <t>Kácení stromu, průměr kmene 200 – 300 mm</t>
  </si>
  <si>
    <t>Kácení stromu, průměr kmene 300 – 400 mm</t>
  </si>
  <si>
    <t>Kácení stromu, průměr kmene 400 – 500 mm</t>
  </si>
  <si>
    <t>Kácení stromu, průměr kmene 500 – 600 mm</t>
  </si>
  <si>
    <t>Kácení stromu, průměr kmene 600 - 700 mm</t>
  </si>
  <si>
    <t>Kácení stromu, průměr kmene 700 - 800 mm</t>
  </si>
  <si>
    <t>184 91-1111</t>
  </si>
  <si>
    <t>185 80-4513</t>
  </si>
  <si>
    <t>Odplevelení výsadeb v rovině nebo na svahu do 1:5 dřevin solitérních včetně likvidace odpadu, naložení, odvezení a se složením (2x / rok)</t>
  </si>
  <si>
    <t>Kácení stromu, průměr kmene 100 - 200 mm – celkem</t>
  </si>
  <si>
    <t>Kácení stromu, průměr kmene 200 – 300 mm – celkem</t>
  </si>
  <si>
    <t>Kácení stromu, průměr kmene 300 – 400 mm – celkem</t>
  </si>
  <si>
    <t>Kácení stromu, průměr kmene 400 – 500 mm – celkem</t>
  </si>
  <si>
    <t>Kácení stromu, průměr kmene 600 - 700 mm – celkem</t>
  </si>
  <si>
    <t>Kácení stromu, průměr kmene 700 - 800 mm – celkem</t>
  </si>
  <si>
    <t>Kácení stromu, průměr kmene 500 – 600 mm – celkem</t>
  </si>
  <si>
    <t>Výsadba květin</t>
  </si>
  <si>
    <t>183 21-1312</t>
  </si>
  <si>
    <t>Výsadba květin do připravené půdy se zalitím, trvalek</t>
  </si>
  <si>
    <t>Výsadba květin - celkem</t>
  </si>
  <si>
    <t>Dodávka mulčovací kůry tl. vrstvy 0,1 m, vč. dopravy</t>
  </si>
  <si>
    <t>185 85-1121</t>
  </si>
  <si>
    <t>Dovoz vody pro zálivku rostlin na vzdálenost do 1000 m</t>
  </si>
  <si>
    <t>183 11-5214</t>
  </si>
  <si>
    <t>Trvalky a traviny</t>
  </si>
  <si>
    <t>Trvalky a traviny - celkem</t>
  </si>
  <si>
    <t>Ošetření vysazených dřevin solitérních v rovině nebo na svahu do 1:5</t>
  </si>
  <si>
    <t>184 80-1121</t>
  </si>
  <si>
    <t>Ošetření vysazených dřevin solitérních v rovině nebo na svahu přes 1:2 do 1:1</t>
  </si>
  <si>
    <t>184 80-1123</t>
  </si>
  <si>
    <t>Ošetření vysazených dřevin ve skupinách v rovině nebo na svahu do 1:5</t>
  </si>
  <si>
    <t>184 80-1131</t>
  </si>
  <si>
    <t>184 80-1133</t>
  </si>
  <si>
    <t>Ošetření vysazených dřevin ve skupinách na svahu přes 1:2 do 1:1</t>
  </si>
  <si>
    <t>183 10-1221</t>
  </si>
  <si>
    <t>Hloubení jamek pro vysazování rostlin v zemině 1 až 4 s výměnou půdy na 50 % v rovině nebo na svahu do 1:5, objemu přes 0,40 m3 do 1,00 m3</t>
  </si>
  <si>
    <t>Hloubení jamek pro vysazování rostlin v zemině 1 až 4 s výměnou půdy na 50 % na svahu přes 1:2 do 1:1, objemu přes 0,40 m3 do 1,0 m3</t>
  </si>
  <si>
    <t>183 10-5221</t>
  </si>
  <si>
    <t>Výsadba dřeviny s balem do předem vyhloubené jamky se zalitím v rovině nebo ve svahu 1:5 při průměru balu přes 400 do 500 mm</t>
  </si>
  <si>
    <t>184 10-2114</t>
  </si>
  <si>
    <t>Výsadba dřeviny s balem do předem vyhloubené jamky se zalitím na svahu přes 1:2 do 1:1, při průměru balu přes 400 do 500 mm</t>
  </si>
  <si>
    <t>184 10-2134</t>
  </si>
  <si>
    <t>Pěstební substrát 0,5 m3 / 1 ks, včetně ceny dopravy materiálu</t>
  </si>
  <si>
    <t>Povýsadbový řez vysazených stromů vč. Likvidace odpadu</t>
  </si>
  <si>
    <t>Doprava rostlinného materiálu</t>
  </si>
  <si>
    <t>kpl</t>
  </si>
  <si>
    <t>Náklady na dopravu pro 1. rok následné péče</t>
  </si>
  <si>
    <t>Náklady na dopravu pro 2. rok následné péče</t>
  </si>
  <si>
    <t>Náklady na dopravu pro 3. rok následné péče</t>
  </si>
  <si>
    <t>Výsadba kontejnerového keře – celkem</t>
  </si>
  <si>
    <t>Obruba z ocelové pásoviny tl. 5 mm, včetně kotvících prvků a dopravy</t>
  </si>
  <si>
    <t xml:space="preserve">Travní osivo (směs na slunce) při výsevku 10-12 g / 1 m2 </t>
  </si>
  <si>
    <t>Levín</t>
  </si>
  <si>
    <t>Nad Stadionem</t>
  </si>
  <si>
    <t>javor babyka</t>
  </si>
  <si>
    <t>12 - 14</t>
  </si>
  <si>
    <t>javor mléčný</t>
  </si>
  <si>
    <t>Aesculus hippocastanum</t>
  </si>
  <si>
    <t>jírovec maďal</t>
  </si>
  <si>
    <t>Fagus sylvatica 'Fastigiata'</t>
  </si>
  <si>
    <t>buk lesní</t>
  </si>
  <si>
    <t>100 - 150</t>
  </si>
  <si>
    <t>Juglans regia</t>
  </si>
  <si>
    <t>ořešák královský</t>
  </si>
  <si>
    <t>10 - 12</t>
  </si>
  <si>
    <t xml:space="preserve">Prunus avium 'Plena' </t>
  </si>
  <si>
    <t>třešeň ptačí</t>
  </si>
  <si>
    <t xml:space="preserve">Tilia cordata </t>
  </si>
  <si>
    <t>lípa malolistá (srdčitá)</t>
  </si>
  <si>
    <t>Stromy alejového typu s balem - výsadba do roviny</t>
  </si>
  <si>
    <t xml:space="preserve">Stromy alejového typu s balem - výsadba do roviny – celkem </t>
  </si>
  <si>
    <t>Stromy alejového typu s balem - výsadba do svahu</t>
  </si>
  <si>
    <t xml:space="preserve">Stromy alejového typu s balem - výsadba do svahu – celkem </t>
  </si>
  <si>
    <t xml:space="preserve">Pinus sylvestris </t>
  </si>
  <si>
    <t>borovice lesní</t>
  </si>
  <si>
    <t>175-200</t>
  </si>
  <si>
    <t>Prunus avium</t>
  </si>
  <si>
    <t>slivoň</t>
  </si>
  <si>
    <t>Sorbus aucuparia</t>
  </si>
  <si>
    <t>jeřáb obecný</t>
  </si>
  <si>
    <t>60 - 80</t>
  </si>
  <si>
    <t>Nižší keře a půdopokryvné rostliny - výsadba do roviny</t>
  </si>
  <si>
    <t>Nižší keře a půdopokryvné rostliny - výsadba do roviny - celkem</t>
  </si>
  <si>
    <t>Caryopteris x clandonensis</t>
  </si>
  <si>
    <t>ořechokřídlec clandonský</t>
  </si>
  <si>
    <t>20 - 30</t>
  </si>
  <si>
    <t>skalník Dammerův</t>
  </si>
  <si>
    <t>10 - 20</t>
  </si>
  <si>
    <t>Hypericum calycinum</t>
  </si>
  <si>
    <t>třezalka kalíškatá</t>
  </si>
  <si>
    <t>K9</t>
  </si>
  <si>
    <t>Lonicera pileata</t>
  </si>
  <si>
    <t>zimolez kloboukatý</t>
  </si>
  <si>
    <t>mochna křovitá</t>
  </si>
  <si>
    <t>Potentilla fruticosa 'Goldteppich'</t>
  </si>
  <si>
    <t>půdopokryvná růže</t>
  </si>
  <si>
    <t>Rosa - půdopokryvná bíle kvetoucí</t>
  </si>
  <si>
    <t>Rosa pimpinellifolia</t>
  </si>
  <si>
    <t>růže bedrníkolistá</t>
  </si>
  <si>
    <t>tavolník nízký</t>
  </si>
  <si>
    <t>tavolník japonský</t>
  </si>
  <si>
    <t>Spiraea japonica 'Shirobana'</t>
  </si>
  <si>
    <t>korunatka klaná</t>
  </si>
  <si>
    <t>40 - 60</t>
  </si>
  <si>
    <t>Nižší keře a půdopokryvné rostliny - výsadba do svahu</t>
  </si>
  <si>
    <t>Nižší keře a půdopokryvné rostliny - výsadba do svahu - celkem</t>
  </si>
  <si>
    <t>Caryopteris x clandonensis 'Ferndown'</t>
  </si>
  <si>
    <t>15 - 20</t>
  </si>
  <si>
    <t>Spiraea x bumalda 'Anthony Waterer'</t>
  </si>
  <si>
    <t>Vyšší keře - výsadba do roviny</t>
  </si>
  <si>
    <t>Vyšší keře - výsadba do roviny - celkem</t>
  </si>
  <si>
    <t>dřišťál Thunbergův</t>
  </si>
  <si>
    <t>Forsythia x intermedia</t>
  </si>
  <si>
    <t>zlatice prostřední</t>
  </si>
  <si>
    <t>Spiraea x arguta</t>
  </si>
  <si>
    <t>tavolník význačný</t>
  </si>
  <si>
    <t>Syringa vulgaris</t>
  </si>
  <si>
    <t>šeřík obecný</t>
  </si>
  <si>
    <t>Viburnum carlesii</t>
  </si>
  <si>
    <t>kalina Karlesiova</t>
  </si>
  <si>
    <t>Viburnum opulus</t>
  </si>
  <si>
    <t>kalina obecná</t>
  </si>
  <si>
    <t>Vyšší keře - výsadba do svahu</t>
  </si>
  <si>
    <t>Vyšší keře - výsadba do svahu - celkem</t>
  </si>
  <si>
    <t>Berberis thunbergii 'Atropurpurea'</t>
  </si>
  <si>
    <t>třapatka</t>
  </si>
  <si>
    <t>Odstranění odpadu a betonového odpadu</t>
  </si>
  <si>
    <t>Odstranění odpadu a betonového odpadu - celkem</t>
  </si>
  <si>
    <t>Odstranění odpadu a betonového odpadu včetně uložení odpadu na skládku a skládkovné</t>
  </si>
  <si>
    <t>Vyjmutí stromu k přesazení</t>
  </si>
  <si>
    <t>Trávníkový pěstební substrát tl. vrstvy 0,05 m (násobeno koeficientem slehnutí zeminy 1,2), vč. dopravy materiálu</t>
  </si>
  <si>
    <t>Výměna stávajícího půdního profilu v případě nepředpokládaného znečištění odpadem, sutí, kamenivem, včetně odvozu nevyhovujícího materiálu a navážky zeminy bonity I.</t>
  </si>
  <si>
    <t xml:space="preserve">Chemické odplevelení půdy před založením kultury, trávníku nebo zpevněných ploch o výměře přes 20 m2 na svahu přes 1:2 do 1:1 postřikem na široko *** </t>
  </si>
  <si>
    <t xml:space="preserve">Půdní přípravek pro zpevnění povrchu půdy pro ochranu před vodní a větrnou erozí (aplikace 40 g / m2) </t>
  </si>
  <si>
    <t>Mobiliář</t>
  </si>
  <si>
    <t>Parková lavička (1600 x 760 x 828 mm ), materiál ocel a borovice Thermowood, včetně dopravy</t>
  </si>
  <si>
    <t>R+ specifikace</t>
  </si>
  <si>
    <t>Betonová patka pro ukotvení lavičky, včetně materiálu, dopravy a práce</t>
  </si>
  <si>
    <t>Montáž parkové lavičky</t>
  </si>
  <si>
    <t>Odpadkový koš  (384 × 384 × 800 mm), materiál ocel a borovice v úpravě ThermoWood, včetně dopravy</t>
  </si>
  <si>
    <t>Betonová patka pro ukotvení koše, včetně materiálu, dopravy a práce</t>
  </si>
  <si>
    <t>Montáž odpadkového koše</t>
  </si>
  <si>
    <t>Mobiliář - celkem</t>
  </si>
  <si>
    <t>Povrch z mechanicky zpevněného kameniva</t>
  </si>
  <si>
    <t>Povrch z mechanicky zpevněného kameniva - celkem</t>
  </si>
  <si>
    <t>Betonová palisáda</t>
  </si>
  <si>
    <t>Betonová palisáda - celkem</t>
  </si>
  <si>
    <t>Odstranění tyčí a klepadel</t>
  </si>
  <si>
    <t>Odstranění tyčí a klepadel - celkem</t>
  </si>
  <si>
    <t>Osazování betonových palisád do betonového základu jednotlivě výšky prvku do 0,5 m</t>
  </si>
  <si>
    <t>Hloubení rýh šířky do 600 mm v hornině tř. 3 objemu do 100 m3</t>
  </si>
  <si>
    <t>Uvedení prostoru podél palisád do původního stavu (dohrnutí zeminy, odvoy přebytečné zeminy, dosev trávníku)</t>
  </si>
  <si>
    <t>Betonová palisáda rozměry 115 x 115 x 350 mm, barva beton přírodní</t>
  </si>
  <si>
    <t>Tříděná zemina bonity I. Ve vrstvě 15 cm včetně ceny dopravy materiálu a koeficientu slehnutí 1,3</t>
  </si>
  <si>
    <t>181 00-6113</t>
  </si>
  <si>
    <t>Rozprostření zemin schopných zúrodnění  v rovině a ve sklonu do 1:5,  tl. vrstvy přes 0,1 do 0,2 m</t>
  </si>
  <si>
    <t>Odstranění tyčí a klepadel odfrézováním, vykopání betonových patek, zahrnutí zeminou, osetí osivem</t>
  </si>
  <si>
    <t xml:space="preserve">Acer platanoides </t>
  </si>
  <si>
    <t xml:space="preserve">Stephanandra incisa 'Crispa' </t>
  </si>
  <si>
    <t>Nad Máchovnou</t>
  </si>
  <si>
    <t>U Vodojemu</t>
  </si>
  <si>
    <t>Na Morákově</t>
  </si>
  <si>
    <t>Lonicera nitida</t>
  </si>
  <si>
    <t>zimolez lesklý</t>
  </si>
  <si>
    <t xml:space="preserve">Acer campestre </t>
  </si>
  <si>
    <t>Cornus alba</t>
  </si>
  <si>
    <t>svída bílá</t>
  </si>
  <si>
    <t xml:space="preserve">Berberis thunbergii 'Atropurpurea Nana' </t>
  </si>
  <si>
    <t>Cotoneaster dammeri Coral beauty</t>
  </si>
  <si>
    <t xml:space="preserve">Potentila fruticosa </t>
  </si>
  <si>
    <t xml:space="preserve">Doronicum caucasicum </t>
  </si>
  <si>
    <t>kamžičník východní</t>
  </si>
  <si>
    <t>Echinacea purpurea 'Prairie Splendor'</t>
  </si>
  <si>
    <t xml:space="preserve">Eryngium tripartitum </t>
  </si>
  <si>
    <t>máčka</t>
  </si>
  <si>
    <t xml:space="preserve">Lavandula angustifolia </t>
  </si>
  <si>
    <t xml:space="preserve">Pennisetum alopecuroides </t>
  </si>
  <si>
    <t>dochan psárkovitý</t>
  </si>
  <si>
    <t>Verbena bonariensis</t>
  </si>
  <si>
    <t>sporýš</t>
  </si>
  <si>
    <t>Qeurcus robur</t>
  </si>
  <si>
    <t>dub letní</t>
  </si>
  <si>
    <t>12-14</t>
  </si>
  <si>
    <t>Řez podchozí a podjezdná výška</t>
  </si>
  <si>
    <t>Řez podchozí a podjezdná výška - celkem</t>
  </si>
  <si>
    <t>Terénní modelace</t>
  </si>
  <si>
    <t xml:space="preserve">Terénní modelace – celkem </t>
  </si>
  <si>
    <t>hod</t>
  </si>
  <si>
    <t>Vytvoření roviny dle výkresu Plán ploch</t>
  </si>
  <si>
    <t>Naložení odstraněného materiálu (získané zeminy) násoběný koeficientem načechrání 1,2</t>
  </si>
  <si>
    <t>Odvoz zeminy na skládku</t>
  </si>
  <si>
    <t>Odvoz a uložení na skládku (objem * obj. hmotnost 1,8 )</t>
  </si>
  <si>
    <t>1. podkladní vrstva - doprava materiálu</t>
  </si>
  <si>
    <t>kompl.</t>
  </si>
  <si>
    <t>167 10-1103</t>
  </si>
  <si>
    <t>Nakládání, skládání a překládání neulehlého výkopku nebo sypaniny, skládání z hornin tř. 1 až 4 (vrstva * plocha )</t>
  </si>
  <si>
    <t>1. podkladní vrstva - rozhrnutí materiálu</t>
  </si>
  <si>
    <t>181 11-1121</t>
  </si>
  <si>
    <t>Plošná úprava terénu v zemině tř. 1 až 4 s urovnáním povrchu bez doplnění ornice souvislé plochy do 500 m2 při nerovnostech terénu přes +/- 100 do +/- 150 mm v rovině nebo ve svahu do 1:5</t>
  </si>
  <si>
    <t>Štěrk frakce 16/32 - materiál  ( plocha * vrstva 0,15 * obj.hm. 2)</t>
  </si>
  <si>
    <t>2. podkladní vrstva - doprava materiálu</t>
  </si>
  <si>
    <t>Nakládání, skládání a překládání neulehlého výkopku nebo sypaniny, skládání z hornin tř. 1 až 4 (vrstva 0,1 m * plocha)</t>
  </si>
  <si>
    <t>2. podkladní vrstva - rozhrnutí materiálu</t>
  </si>
  <si>
    <t>Štěrk frakce 0/63 - materiál  (vrstva 0,1 m * plocha  * obj hm. 2 )</t>
  </si>
  <si>
    <t>3. podkladní vrstva - doprava materiálu</t>
  </si>
  <si>
    <t>Nakládání, skládání a překládání neulehlého výkopku nebo sypaniny, skládání z hornin tř. 1 až 4 (vrstva 0,1 m * plocha )</t>
  </si>
  <si>
    <t>3. podkladní vrstva - rozhrnutí materiálu</t>
  </si>
  <si>
    <t>Štěrk frakce 0/32 - materiál  (vrstva 0,1 m * plocha  * obj hm. 2)</t>
  </si>
  <si>
    <t>Svrchní vrstva - doprava materiálu</t>
  </si>
  <si>
    <t>Nakládání, skládání a překládání neulehlého výkopku nebo sypaniny, skládání z hornin tř. 1 až 4  (vrstva 0,04 m * plocha  )</t>
  </si>
  <si>
    <t>Svrchní vrstva - rozhrnutí materiálu</t>
  </si>
  <si>
    <t>Svrchní vrstva - vápenec fr. 0-4 mm, tl. 40 mm   (vrstva 0,04 m * plocha * obj hm 2 )</t>
  </si>
  <si>
    <t>Válcování válcem 3x</t>
  </si>
  <si>
    <t>Osazení obruby z ocelové pásoviny tl. 5 mm</t>
  </si>
  <si>
    <t>Naložení výkopku ( plocha  * vrstva 0,4  * koef. Načechrání 1,2  )</t>
  </si>
  <si>
    <t>Betonové šlapáky</t>
  </si>
  <si>
    <t>Betonové šlapáky - celkem</t>
  </si>
  <si>
    <t>Herní prvky - celkem</t>
  </si>
  <si>
    <t>Herní a rekreační prvky</t>
  </si>
  <si>
    <t>Montáž vyhlídkové plošiny (práce, doprava)</t>
  </si>
  <si>
    <t>Vyhlídková plošina dle specifikace v PD, sadové zprávě, materiálových listech (včetně dopravy)</t>
  </si>
  <si>
    <t>Ukotvení vyhlídkové plošiny dle doporučení výrobce (práce, materiál, doprava)</t>
  </si>
  <si>
    <t>Lanová dráha dle specifikace v PD, sadové zprávě, materiálových listech (včetně dopravy)</t>
  </si>
  <si>
    <t>Montáž lanové dráhy (práce, doprava)</t>
  </si>
  <si>
    <t>Ukotvení  lanové dráhy dle doporučení výrobce (práce, materiál, doprava)</t>
  </si>
  <si>
    <t>Stezka dovednosti  dle specifikace v PD, sadové zprávě, materiálových listech (včetně dopravy)</t>
  </si>
  <si>
    <t>Montáž stezky dovednosti (práce, doprava)</t>
  </si>
  <si>
    <t>Ukotvení stezky dovednosti  dle doporučení výrobce (práce, materiál, doprava)</t>
  </si>
  <si>
    <t>Betonová dlaždice 0,5 x 0,5 x 0,04 m, šedý beton, včetně dopravy</t>
  </si>
  <si>
    <t xml:space="preserve">Uložení dlaždic </t>
  </si>
  <si>
    <t>Skluzavka ve svahu s podestou, dle specifikace v PD, sadové zprávě, materiálových listech (včetně dopravy)</t>
  </si>
  <si>
    <t>Montáž skluzavky ve svahu (práce, doprava)</t>
  </si>
  <si>
    <t>Ukotvení  skluzavky ve svahu  dle doporučení výrobce (práce, materiál, doprava)</t>
  </si>
  <si>
    <t>Dřevěná rampa, dle specifikace v PD, sadové zprávě, materiálových listech (včetně dopravy)</t>
  </si>
  <si>
    <t>Montáž dřevěné rampy, (práce, doprava)</t>
  </si>
  <si>
    <t>Ukotvení   dřevěné rampy  dle doporučení výrobce (práce, materiál, doprava)</t>
  </si>
  <si>
    <t>Ostatní práce</t>
  </si>
  <si>
    <t>Ostatní práce - celkem</t>
  </si>
  <si>
    <t>Cesty a pěšiny</t>
  </si>
  <si>
    <t>Cesty a pěšiny - celkem</t>
  </si>
  <si>
    <t xml:space="preserve">Náklady za práce - sadové úpravy </t>
  </si>
  <si>
    <t>Odvoz odpadu na skládku</t>
  </si>
  <si>
    <t>Skládkovné</t>
  </si>
  <si>
    <t>Instalace zavlažovacích vaků ke stromů – nové výsadby, vč. visacího zámku, číselný kod</t>
  </si>
  <si>
    <t xml:space="preserve">dodávka zavlažovacích vaků, objem 100 l, polyethylen, zelená barva, vč.dopravy </t>
  </si>
  <si>
    <t>Stavba:</t>
  </si>
  <si>
    <t>Místo:</t>
  </si>
  <si>
    <t>Objednatel:</t>
  </si>
  <si>
    <t>Datum:</t>
  </si>
  <si>
    <t>Zhotovitel:</t>
  </si>
  <si>
    <t>Projektant:</t>
  </si>
  <si>
    <t>Living in green s.r.o.</t>
  </si>
  <si>
    <t>Palackého 70</t>
  </si>
  <si>
    <t>252 29 Dobřichovice</t>
  </si>
  <si>
    <t>IČO: 24828301</t>
  </si>
  <si>
    <t>DIČ: CZ24828301</t>
  </si>
  <si>
    <t>Vypracoval:</t>
  </si>
  <si>
    <t>Ing. Pavlína Elfová</t>
  </si>
  <si>
    <t>Cena s DPH 21 %</t>
  </si>
  <si>
    <t>Náklady za práce - kácení dřevin</t>
  </si>
  <si>
    <t>Náklady za práce - arboristické zásahy</t>
  </si>
  <si>
    <t>Náklady za práce - sadové práce</t>
  </si>
  <si>
    <t xml:space="preserve">Následná péče o výsadby po dobu tří let </t>
  </si>
  <si>
    <t>Stavební úpravy</t>
  </si>
  <si>
    <t>Cena celkem bez DPH</t>
  </si>
  <si>
    <t>Sazba DPH - 21 %</t>
  </si>
  <si>
    <t xml:space="preserve">Cena s DPH </t>
  </si>
  <si>
    <t>Projekt revitalizace významné sídelní zeleně v intravilánu města Králův Dvůr - OPŽP 2019</t>
  </si>
  <si>
    <t>katastr města Králův Dvůr</t>
  </si>
  <si>
    <t>město Králův Dvůr</t>
  </si>
  <si>
    <t>náměstí Míru 139</t>
  </si>
  <si>
    <t>267 01 Králův Dvůr u Berouna</t>
  </si>
  <si>
    <t>Náklady za práce - arboristické zásahy - celkem</t>
  </si>
  <si>
    <t>Kácení stromů - celkem</t>
  </si>
  <si>
    <t>Odstranění pařezu, průměr kmene 400 – 500 mm</t>
  </si>
  <si>
    <t>Odstranění pařezu, průměr kmene 400 – 500 mm – celkem</t>
  </si>
  <si>
    <t>Spiraea japonica 'Littel Princess'</t>
  </si>
  <si>
    <t>Potentilla fruticosa 'Kobold'</t>
  </si>
  <si>
    <t xml:space="preserve">Výsadba alej. stromu s balem do jamek  – celkem </t>
  </si>
  <si>
    <t>Naplnění zavlažovacích vaků vodou v dávce 100 l k jednomu stromu (8x / rok, 100 l / ks)</t>
  </si>
  <si>
    <t>VRN (zařízení staveniště, vytyčení inženýrských sítí)</t>
  </si>
  <si>
    <t>Odstranění nevhodných dřevin průměru kmene do 100 mm výšky přes 1 m s odstraněním pařezu přes 100 do 500 m2 v rovině nebo na svahu do 1:5 včetně likvidace dřevní hmoty, naložení, odvezení na místo určené městem ke skládkování biologického materiálu</t>
  </si>
  <si>
    <t>Štěpkování získané dřevní hmoty a odvezení na místo určené městem ke skládkování biologického materiálu</t>
  </si>
  <si>
    <t>Uložení biologického materiálu a odvezení na místo určené městem ke skládkování biologického materiálu</t>
  </si>
  <si>
    <t>Uložení na skládku a odvezení na místo určené městem ke skládkování biologického materiálu</t>
  </si>
  <si>
    <t>Uložení biologického materiálu na skládku a odvezení na místo určené městem ke skládkování biologického materiálu</t>
  </si>
  <si>
    <t>REKAPITULACE VÝKAZ VÝMĚR</t>
  </si>
  <si>
    <t>pozn.: Zpracovatel výkazu výměr neručí za správnost uvedených vzorců, kterou je zhotovitel povinen si při vytvoření cenové nabídky ověřit.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</si>
</sst>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\ [$Kč-405];[Red]\-#,##0.00\ [$Kč-405]"/>
    <numFmt numFmtId="165" formatCode="#,##0&quot; Kč&quot;"/>
    <numFmt numFmtId="166" formatCode="#,##0\ [$Kč-405];[Red]\-#,##0\ [$Kč-405]"/>
    <numFmt numFmtId="167" formatCode="#,##0.00&quot; Kč&quot;"/>
    <numFmt numFmtId="168" formatCode="0.0000"/>
    <numFmt numFmtId="169" formatCode="0.00000"/>
    <numFmt numFmtId="170" formatCode="0.000"/>
    <numFmt numFmtId="171" formatCode="0.0"/>
    <numFmt numFmtId="172" formatCode="#,##0.00\ &quot;Kč&quot;"/>
    <numFmt numFmtId="173" formatCode="#,##0\ &quot;Kč&quot;"/>
    <numFmt numFmtId="174" formatCode="0.00%;\-0.00%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  <font>
      <b/>
      <sz val="13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" fillId="0" borderId="0">
      <alignment/>
      <protection/>
    </xf>
  </cellStyleXfs>
  <cellXfs count="533">
    <xf numFmtId="0" fontId="0" fillId="0" borderId="0" xfId="0"/>
    <xf numFmtId="0" fontId="2" fillId="0" borderId="0" xfId="20" applyFont="1" applyAlignment="1">
      <alignment vertical="center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 vertical="center"/>
      <protection/>
    </xf>
    <xf numFmtId="164" fontId="2" fillId="0" borderId="0" xfId="20" applyNumberFormat="1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3" fillId="0" borderId="0" xfId="20" applyFont="1">
      <alignment/>
      <protection/>
    </xf>
    <xf numFmtId="0" fontId="9" fillId="0" borderId="0" xfId="20" applyFont="1">
      <alignment/>
      <protection/>
    </xf>
    <xf numFmtId="0" fontId="4" fillId="0" borderId="0" xfId="20" applyFont="1">
      <alignment/>
      <protection/>
    </xf>
    <xf numFmtId="0" fontId="7" fillId="2" borderId="1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0" fillId="0" borderId="1" xfId="20" applyBorder="1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2" fillId="0" borderId="0" xfId="20" applyFont="1" applyAlignment="1">
      <alignment horizontal="left" vertical="center"/>
      <protection/>
    </xf>
    <xf numFmtId="0" fontId="9" fillId="0" borderId="0" xfId="20" applyFont="1" applyAlignment="1">
      <alignment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14" fontId="0" fillId="3" borderId="1" xfId="20" applyNumberFormat="1" applyFill="1" applyBorder="1" applyAlignment="1">
      <alignment horizontal="center" vertical="center"/>
      <protection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5" borderId="1" xfId="20" applyFill="1" applyBorder="1" applyAlignment="1">
      <alignment horizontal="center" vertical="center"/>
      <protection/>
    </xf>
    <xf numFmtId="164" fontId="0" fillId="5" borderId="1" xfId="20" applyNumberFormat="1" applyFill="1" applyBorder="1" applyAlignment="1">
      <alignment horizontal="center" vertical="center"/>
      <protection/>
    </xf>
    <xf numFmtId="0" fontId="2" fillId="6" borderId="0" xfId="20" applyFont="1" applyFill="1">
      <alignment/>
      <protection/>
    </xf>
    <xf numFmtId="171" fontId="0" fillId="0" borderId="1" xfId="20" applyNumberFormat="1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0" fillId="7" borderId="1" xfId="20" applyFill="1" applyBorder="1" applyAlignment="1">
      <alignment horizontal="center" vertical="center"/>
      <protection/>
    </xf>
    <xf numFmtId="0" fontId="0" fillId="4" borderId="1" xfId="20" applyFill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2" fillId="4" borderId="0" xfId="20" applyFont="1" applyFill="1">
      <alignment/>
      <protection/>
    </xf>
    <xf numFmtId="0" fontId="3" fillId="4" borderId="0" xfId="20" applyFont="1" applyFill="1">
      <alignment/>
      <protection/>
    </xf>
    <xf numFmtId="1" fontId="0" fillId="0" borderId="1" xfId="20" applyNumberFormat="1" applyBorder="1" applyAlignment="1">
      <alignment horizontal="center" vertical="center"/>
      <protection/>
    </xf>
    <xf numFmtId="0" fontId="0" fillId="7" borderId="1" xfId="20" applyFont="1" applyFill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0" fillId="0" borderId="1" xfId="20" applyBorder="1" applyAlignment="1">
      <alignment horizontal="center" vertical="center" wrapText="1"/>
      <protection/>
    </xf>
    <xf numFmtId="0" fontId="0" fillId="0" borderId="0" xfId="20">
      <alignment/>
      <protection/>
    </xf>
    <xf numFmtId="0" fontId="0" fillId="3" borderId="1" xfId="20" applyFill="1" applyBorder="1" applyAlignment="1">
      <alignment horizontal="center" vertical="center"/>
      <protection/>
    </xf>
    <xf numFmtId="164" fontId="0" fillId="3" borderId="1" xfId="20" applyNumberFormat="1" applyFill="1" applyBorder="1" applyAlignment="1">
      <alignment horizontal="right" vertical="center"/>
      <protection/>
    </xf>
    <xf numFmtId="0" fontId="0" fillId="8" borderId="1" xfId="20" applyFill="1" applyBorder="1" applyAlignment="1">
      <alignment horizontal="center" vertical="center"/>
      <protection/>
    </xf>
    <xf numFmtId="0" fontId="0" fillId="3" borderId="0" xfId="20" applyFill="1">
      <alignment/>
      <protection/>
    </xf>
    <xf numFmtId="0" fontId="0" fillId="0" borderId="1" xfId="20" applyFont="1" applyBorder="1" applyAlignment="1">
      <alignment horizontal="center" vertical="center" wrapText="1"/>
      <protection/>
    </xf>
    <xf numFmtId="0" fontId="0" fillId="9" borderId="0" xfId="20" applyFill="1">
      <alignment/>
      <protection/>
    </xf>
    <xf numFmtId="0" fontId="2" fillId="10" borderId="1" xfId="20" applyFont="1" applyFill="1" applyBorder="1" applyAlignment="1">
      <alignment horizontal="center" vertical="center"/>
      <protection/>
    </xf>
    <xf numFmtId="0" fontId="2" fillId="10" borderId="0" xfId="20" applyFont="1" applyFill="1">
      <alignment/>
      <protection/>
    </xf>
    <xf numFmtId="0" fontId="2" fillId="11" borderId="1" xfId="20" applyFont="1" applyFill="1" applyBorder="1" applyAlignment="1">
      <alignment horizontal="center" vertical="center"/>
      <protection/>
    </xf>
    <xf numFmtId="0" fontId="0" fillId="12" borderId="1" xfId="0" applyFont="1" applyFill="1" applyBorder="1" applyAlignment="1">
      <alignment horizontal="center" vertical="center"/>
    </xf>
    <xf numFmtId="0" fontId="0" fillId="12" borderId="1" xfId="20" applyFill="1" applyBorder="1" applyAlignment="1">
      <alignment horizontal="center" vertical="center"/>
      <protection/>
    </xf>
    <xf numFmtId="0" fontId="0" fillId="12" borderId="1" xfId="20" applyFill="1" applyBorder="1">
      <alignment/>
      <protection/>
    </xf>
    <xf numFmtId="0" fontId="0" fillId="12" borderId="1" xfId="0" applyFill="1" applyBorder="1" applyAlignment="1">
      <alignment horizontal="center" vertical="center"/>
    </xf>
    <xf numFmtId="0" fontId="0" fillId="12" borderId="0" xfId="20" applyFill="1">
      <alignment/>
      <protection/>
    </xf>
    <xf numFmtId="173" fontId="7" fillId="2" borderId="1" xfId="20" applyNumberFormat="1" applyFont="1" applyFill="1" applyBorder="1" applyAlignment="1">
      <alignment horizontal="right" vertical="center"/>
      <protection/>
    </xf>
    <xf numFmtId="166" fontId="7" fillId="2" borderId="1" xfId="20" applyNumberFormat="1" applyFont="1" applyFill="1" applyBorder="1" applyAlignment="1">
      <alignment horizontal="right" vertical="center"/>
      <protection/>
    </xf>
    <xf numFmtId="165" fontId="7" fillId="2" borderId="1" xfId="20" applyNumberFormat="1" applyFont="1" applyFill="1" applyBorder="1" applyAlignment="1">
      <alignment horizontal="right" vertical="center"/>
      <protection/>
    </xf>
    <xf numFmtId="0" fontId="0" fillId="13" borderId="0" xfId="20" applyFill="1">
      <alignment/>
      <protection/>
    </xf>
    <xf numFmtId="0" fontId="0" fillId="13" borderId="1" xfId="0" applyFont="1" applyFill="1" applyBorder="1" applyAlignment="1">
      <alignment horizontal="center" vertical="center"/>
    </xf>
    <xf numFmtId="0" fontId="7" fillId="13" borderId="0" xfId="20" applyFont="1" applyFill="1">
      <alignment/>
      <protection/>
    </xf>
    <xf numFmtId="9" fontId="0" fillId="14" borderId="1" xfId="20" applyNumberFormat="1" applyFill="1" applyBorder="1" applyAlignment="1">
      <alignment horizontal="center" vertical="center"/>
      <protection/>
    </xf>
    <xf numFmtId="0" fontId="2" fillId="15" borderId="1" xfId="20" applyFont="1" applyFill="1" applyBorder="1">
      <alignment/>
      <protection/>
    </xf>
    <xf numFmtId="9" fontId="0" fillId="0" borderId="1" xfId="20" applyNumberFormat="1" applyFont="1" applyBorder="1" applyAlignment="1">
      <alignment horizontal="center" vertical="center"/>
      <protection/>
    </xf>
    <xf numFmtId="172" fontId="6" fillId="0" borderId="1" xfId="20" applyNumberFormat="1" applyFont="1" applyBorder="1" applyAlignment="1">
      <alignment horizontal="right" vertical="center" wrapText="1"/>
      <protection/>
    </xf>
    <xf numFmtId="172" fontId="7" fillId="2" borderId="1" xfId="20" applyNumberFormat="1" applyFont="1" applyFill="1" applyBorder="1" applyAlignment="1">
      <alignment vertical="center"/>
      <protection/>
    </xf>
    <xf numFmtId="172" fontId="0" fillId="0" borderId="1" xfId="20" applyNumberFormat="1" applyBorder="1" applyAlignment="1">
      <alignment vertical="center"/>
      <protection/>
    </xf>
    <xf numFmtId="172" fontId="7" fillId="3" borderId="1" xfId="20" applyNumberFormat="1" applyFont="1" applyFill="1" applyBorder="1" applyAlignment="1">
      <alignment vertical="center"/>
      <protection/>
    </xf>
    <xf numFmtId="172" fontId="6" fillId="0" borderId="1" xfId="20" applyNumberFormat="1" applyFont="1" applyBorder="1" applyAlignment="1">
      <alignment horizontal="right" vertical="center"/>
      <protection/>
    </xf>
    <xf numFmtId="172" fontId="7" fillId="5" borderId="1" xfId="20" applyNumberFormat="1" applyFont="1" applyFill="1" applyBorder="1" applyAlignment="1">
      <alignment vertical="center"/>
      <protection/>
    </xf>
    <xf numFmtId="172" fontId="7" fillId="8" borderId="1" xfId="20" applyNumberFormat="1" applyFont="1" applyFill="1" applyBorder="1" applyAlignment="1">
      <alignment vertical="center"/>
      <protection/>
    </xf>
    <xf numFmtId="172" fontId="0" fillId="0" borderId="1" xfId="20" applyNumberFormat="1" applyBorder="1" applyAlignment="1">
      <alignment horizontal="right" vertical="center" wrapText="1"/>
      <protection/>
    </xf>
    <xf numFmtId="172" fontId="7" fillId="16" borderId="1" xfId="20" applyNumberFormat="1" applyFont="1" applyFill="1" applyBorder="1" applyAlignment="1">
      <alignment vertical="center"/>
      <protection/>
    </xf>
    <xf numFmtId="172" fontId="9" fillId="0" borderId="0" xfId="20" applyNumberFormat="1" applyFont="1" applyAlignment="1">
      <alignment vertical="center"/>
      <protection/>
    </xf>
    <xf numFmtId="172" fontId="2" fillId="0" borderId="0" xfId="20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14" fontId="0" fillId="3" borderId="1" xfId="20" applyNumberFormat="1" applyFont="1" applyFill="1" applyBorder="1" applyAlignment="1">
      <alignment horizontal="center" vertical="center"/>
      <protection/>
    </xf>
    <xf numFmtId="0" fontId="0" fillId="12" borderId="1" xfId="20" applyFont="1" applyFill="1" applyBorder="1" applyAlignment="1">
      <alignment horizontal="center" vertical="center"/>
      <protection/>
    </xf>
    <xf numFmtId="0" fontId="2" fillId="12" borderId="0" xfId="20" applyFont="1" applyFill="1">
      <alignment/>
      <protection/>
    </xf>
    <xf numFmtId="0" fontId="0" fillId="12" borderId="1" xfId="20" applyFont="1" applyFill="1" applyBorder="1" applyAlignment="1">
      <alignment vertical="center"/>
      <protection/>
    </xf>
    <xf numFmtId="0" fontId="0" fillId="12" borderId="1" xfId="20" applyFont="1" applyFill="1" applyBorder="1" applyAlignment="1">
      <alignment horizontal="center" vertical="center" wrapText="1"/>
      <protection/>
    </xf>
    <xf numFmtId="172" fontId="0" fillId="12" borderId="1" xfId="20" applyNumberFormat="1" applyFill="1" applyBorder="1" applyAlignment="1">
      <alignment horizontal="right" vertical="center" wrapText="1"/>
      <protection/>
    </xf>
    <xf numFmtId="0" fontId="14" fillId="0" borderId="0" xfId="20" applyFont="1" applyAlignment="1">
      <alignment horizontal="left" vertical="center"/>
      <protection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3" fillId="12" borderId="1" xfId="0" applyNumberFormat="1" applyFont="1" applyFill="1" applyBorder="1" applyAlignment="1">
      <alignment horizontal="center" vertical="center"/>
    </xf>
    <xf numFmtId="0" fontId="2" fillId="0" borderId="1" xfId="20" applyFont="1" applyBorder="1" applyAlignment="1">
      <alignment vertical="center"/>
      <protection/>
    </xf>
    <xf numFmtId="0" fontId="2" fillId="0" borderId="1" xfId="20" applyFont="1" applyBorder="1">
      <alignment/>
      <protection/>
    </xf>
    <xf numFmtId="49" fontId="13" fillId="1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12" borderId="0" xfId="20" applyFont="1" applyFill="1">
      <alignment/>
      <protection/>
    </xf>
    <xf numFmtId="0" fontId="0" fillId="12" borderId="1" xfId="0" applyFont="1" applyFill="1" applyBorder="1" applyAlignment="1">
      <alignment horizontal="center" vertical="center" wrapText="1"/>
    </xf>
    <xf numFmtId="0" fontId="0" fillId="17" borderId="1" xfId="20" applyFill="1" applyBorder="1" applyAlignment="1">
      <alignment horizontal="center" vertical="center"/>
      <protection/>
    </xf>
    <xf numFmtId="0" fontId="7" fillId="12" borderId="1" xfId="20" applyFont="1" applyFill="1" applyBorder="1" applyAlignment="1">
      <alignment vertical="center"/>
      <protection/>
    </xf>
    <xf numFmtId="164" fontId="7" fillId="15" borderId="1" xfId="20" applyNumberFormat="1" applyFont="1" applyFill="1" applyBorder="1" applyAlignment="1">
      <alignment vertical="center"/>
      <protection/>
    </xf>
    <xf numFmtId="172" fontId="7" fillId="18" borderId="1" xfId="20" applyNumberFormat="1" applyFont="1" applyFill="1" applyBorder="1" applyAlignment="1">
      <alignment horizontal="right" vertical="center"/>
      <protection/>
    </xf>
    <xf numFmtId="0" fontId="7" fillId="12" borderId="2" xfId="20" applyFont="1" applyFill="1" applyBorder="1" applyAlignment="1">
      <alignment vertical="center"/>
      <protection/>
    </xf>
    <xf numFmtId="172" fontId="7" fillId="19" borderId="1" xfId="20" applyNumberFormat="1" applyFont="1" applyFill="1" applyBorder="1" applyAlignment="1">
      <alignment vertical="center"/>
      <protection/>
    </xf>
    <xf numFmtId="3" fontId="0" fillId="0" borderId="1" xfId="20" applyNumberFormat="1" applyBorder="1" applyAlignment="1">
      <alignment horizontal="center" vertical="center"/>
      <protection/>
    </xf>
    <xf numFmtId="3" fontId="0" fillId="0" borderId="1" xfId="20" applyNumberFormat="1" applyFont="1" applyBorder="1" applyAlignment="1">
      <alignment horizontal="center" vertical="center"/>
      <protection/>
    </xf>
    <xf numFmtId="9" fontId="0" fillId="0" borderId="1" xfId="20" applyNumberFormat="1" applyBorder="1" applyAlignment="1">
      <alignment horizontal="center" vertical="center"/>
      <protection/>
    </xf>
    <xf numFmtId="172" fontId="0" fillId="7" borderId="1" xfId="20" applyNumberFormat="1" applyFont="1" applyFill="1" applyBorder="1" applyAlignment="1">
      <alignment vertical="center"/>
      <protection/>
    </xf>
    <xf numFmtId="172" fontId="7" fillId="14" borderId="1" xfId="20" applyNumberFormat="1" applyFont="1" applyFill="1" applyBorder="1" applyAlignment="1">
      <alignment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Border="1" applyAlignment="1">
      <alignment horizontal="left" vertical="center"/>
      <protection/>
    </xf>
    <xf numFmtId="0" fontId="7" fillId="2" borderId="1" xfId="20" applyFont="1" applyFill="1" applyBorder="1" applyAlignment="1">
      <alignment vertical="center"/>
      <protection/>
    </xf>
    <xf numFmtId="0" fontId="0" fillId="0" borderId="1" xfId="20" applyFont="1" applyBorder="1" applyAlignment="1">
      <alignment horizontal="left" vertical="center"/>
      <protection/>
    </xf>
    <xf numFmtId="0" fontId="0" fillId="12" borderId="1" xfId="20" applyFill="1" applyBorder="1" applyAlignment="1">
      <alignment vertical="center"/>
      <protection/>
    </xf>
    <xf numFmtId="0" fontId="0" fillId="18" borderId="1" xfId="20" applyFill="1" applyBorder="1" applyAlignment="1">
      <alignment vertical="center"/>
      <protection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/>
    </xf>
    <xf numFmtId="14" fontId="0" fillId="2" borderId="1" xfId="20" applyNumberFormat="1" applyFill="1" applyBorder="1" applyAlignment="1">
      <alignment horizontal="center" vertical="center"/>
      <protection/>
    </xf>
    <xf numFmtId="164" fontId="0" fillId="2" borderId="1" xfId="20" applyNumberFormat="1" applyFill="1" applyBorder="1" applyAlignment="1">
      <alignment horizontal="center" vertical="center"/>
      <protection/>
    </xf>
    <xf numFmtId="172" fontId="3" fillId="11" borderId="1" xfId="20" applyNumberFormat="1" applyFont="1" applyFill="1" applyBorder="1" applyAlignment="1">
      <alignment vertical="center"/>
      <protection/>
    </xf>
    <xf numFmtId="172" fontId="0" fillId="4" borderId="1" xfId="20" applyNumberFormat="1" applyFill="1" applyBorder="1" applyAlignment="1">
      <alignment vertical="center"/>
      <protection/>
    </xf>
    <xf numFmtId="172" fontId="0" fillId="12" borderId="1" xfId="20" applyNumberFormat="1" applyFill="1" applyBorder="1" applyAlignment="1">
      <alignment vertical="center"/>
      <protection/>
    </xf>
    <xf numFmtId="164" fontId="0" fillId="14" borderId="1" xfId="20" applyNumberFormat="1" applyFill="1" applyBorder="1" applyAlignment="1">
      <alignment horizontal="center" vertical="center"/>
      <protection/>
    </xf>
    <xf numFmtId="0" fontId="0" fillId="4" borderId="1" xfId="20" applyFont="1" applyFill="1" applyBorder="1" applyAlignment="1">
      <alignment horizontal="center" vertical="center"/>
      <protection/>
    </xf>
    <xf numFmtId="0" fontId="0" fillId="4" borderId="1" xfId="0" applyFill="1" applyBorder="1" applyAlignment="1">
      <alignment horizontal="center" vertical="center"/>
    </xf>
    <xf numFmtId="164" fontId="0" fillId="8" borderId="1" xfId="20" applyNumberForma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7" fillId="13" borderId="1" xfId="20" applyFont="1" applyFill="1" applyBorder="1" applyAlignment="1">
      <alignment horizontal="center" vertical="center" wrapText="1"/>
      <protection/>
    </xf>
    <xf numFmtId="0" fontId="0" fillId="13" borderId="1" xfId="20" applyFill="1" applyBorder="1" applyAlignment="1">
      <alignment horizontal="center" vertical="center" wrapText="1"/>
      <protection/>
    </xf>
    <xf numFmtId="0" fontId="0" fillId="9" borderId="1" xfId="0" applyFont="1" applyFill="1" applyBorder="1" applyAlignment="1">
      <alignment horizontal="center" vertical="center"/>
    </xf>
    <xf numFmtId="172" fontId="7" fillId="9" borderId="1" xfId="20" applyNumberFormat="1" applyFont="1" applyFill="1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0" xfId="20" applyFont="1" applyBorder="1">
      <alignment/>
      <protection/>
    </xf>
    <xf numFmtId="0" fontId="2" fillId="10" borderId="0" xfId="20" applyFont="1" applyFill="1" applyBorder="1">
      <alignment/>
      <protection/>
    </xf>
    <xf numFmtId="0" fontId="2" fillId="4" borderId="0" xfId="20" applyFont="1" applyFill="1" applyBorder="1">
      <alignment/>
      <protection/>
    </xf>
    <xf numFmtId="0" fontId="3" fillId="4" borderId="0" xfId="20" applyFont="1" applyFill="1" applyBorder="1">
      <alignment/>
      <protection/>
    </xf>
    <xf numFmtId="0" fontId="3" fillId="0" borderId="0" xfId="20" applyFont="1" applyBorder="1">
      <alignment/>
      <protection/>
    </xf>
    <xf numFmtId="0" fontId="2" fillId="6" borderId="0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7" fillId="0" borderId="0" xfId="20" applyFont="1" applyBorder="1" applyAlignment="1">
      <alignment vertical="center"/>
      <protection/>
    </xf>
    <xf numFmtId="0" fontId="4" fillId="12" borderId="0" xfId="20" applyFont="1" applyFill="1" applyBorder="1">
      <alignment/>
      <protection/>
    </xf>
    <xf numFmtId="0" fontId="2" fillId="12" borderId="0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7" fillId="13" borderId="0" xfId="20" applyFont="1" applyFill="1" applyBorder="1">
      <alignment/>
      <protection/>
    </xf>
    <xf numFmtId="0" fontId="0" fillId="0" borderId="0" xfId="20" applyBorder="1">
      <alignment/>
      <protection/>
    </xf>
    <xf numFmtId="0" fontId="0" fillId="12" borderId="0" xfId="20" applyFill="1" applyBorder="1">
      <alignment/>
      <protection/>
    </xf>
    <xf numFmtId="0" fontId="0" fillId="13" borderId="0" xfId="20" applyFill="1" applyBorder="1">
      <alignment/>
      <protection/>
    </xf>
    <xf numFmtId="0" fontId="0" fillId="3" borderId="0" xfId="20" applyFill="1" applyBorder="1">
      <alignment/>
      <protection/>
    </xf>
    <xf numFmtId="0" fontId="0" fillId="9" borderId="0" xfId="20" applyFill="1" applyBorder="1">
      <alignment/>
      <protection/>
    </xf>
    <xf numFmtId="0" fontId="7" fillId="12" borderId="0" xfId="20" applyFont="1" applyFill="1" applyBorder="1" applyAlignment="1">
      <alignment vertical="center"/>
      <protection/>
    </xf>
    <xf numFmtId="0" fontId="3" fillId="20" borderId="0" xfId="20" applyFont="1" applyFill="1" applyBorder="1">
      <alignment/>
      <protection/>
    </xf>
    <xf numFmtId="0" fontId="17" fillId="20" borderId="0" xfId="20" applyFont="1" applyFill="1" applyBorder="1">
      <alignment/>
      <protection/>
    </xf>
    <xf numFmtId="0" fontId="6" fillId="0" borderId="3" xfId="20" applyFont="1" applyBorder="1" applyAlignment="1">
      <alignment horizontal="center" vertical="center"/>
      <protection/>
    </xf>
    <xf numFmtId="172" fontId="0" fillId="0" borderId="3" xfId="20" applyNumberFormat="1" applyBorder="1" applyAlignment="1">
      <alignment vertical="center"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172" fontId="0" fillId="0" borderId="6" xfId="20" applyNumberFormat="1" applyBorder="1" applyAlignment="1">
      <alignment vertical="center"/>
      <protection/>
    </xf>
    <xf numFmtId="0" fontId="6" fillId="0" borderId="7" xfId="20" applyFont="1" applyBorder="1" applyAlignment="1">
      <alignment horizontal="center" vertical="center"/>
      <protection/>
    </xf>
    <xf numFmtId="172" fontId="0" fillId="0" borderId="8" xfId="20" applyNumberFormat="1" applyBorder="1" applyAlignment="1">
      <alignment vertical="center"/>
      <protection/>
    </xf>
    <xf numFmtId="0" fontId="0" fillId="0" borderId="7" xfId="20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172" fontId="0" fillId="0" borderId="11" xfId="20" applyNumberFormat="1" applyBorder="1" applyAlignment="1">
      <alignment vertical="center"/>
      <protection/>
    </xf>
    <xf numFmtId="0" fontId="0" fillId="12" borderId="12" xfId="0" applyFill="1" applyBorder="1" applyAlignment="1">
      <alignment horizontal="center" vertical="center"/>
    </xf>
    <xf numFmtId="0" fontId="0" fillId="12" borderId="12" xfId="20" applyFont="1" applyFill="1" applyBorder="1" applyAlignment="1">
      <alignment vertical="center"/>
      <protection/>
    </xf>
    <xf numFmtId="0" fontId="0" fillId="12" borderId="12" xfId="20" applyFill="1" applyBorder="1" applyAlignment="1">
      <alignment vertical="center"/>
      <protection/>
    </xf>
    <xf numFmtId="0" fontId="0" fillId="12" borderId="12" xfId="20" applyFont="1" applyFill="1" applyBorder="1" applyAlignment="1">
      <alignment horizontal="center" vertical="center"/>
      <protection/>
    </xf>
    <xf numFmtId="172" fontId="0" fillId="12" borderId="12" xfId="20" applyNumberFormat="1" applyFill="1" applyBorder="1" applyAlignment="1">
      <alignment vertical="center"/>
      <protection/>
    </xf>
    <xf numFmtId="0" fontId="0" fillId="0" borderId="4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10" xfId="20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172" fontId="0" fillId="0" borderId="1" xfId="20" applyNumberFormat="1" applyFont="1" applyBorder="1" applyAlignment="1">
      <alignment vertical="center"/>
      <protection/>
    </xf>
    <xf numFmtId="171" fontId="0" fillId="0" borderId="1" xfId="20" applyNumberFormat="1" applyFont="1" applyBorder="1" applyAlignment="1">
      <alignment horizontal="center" vertical="center"/>
      <protection/>
    </xf>
    <xf numFmtId="3" fontId="0" fillId="0" borderId="1" xfId="20" applyNumberFormat="1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/>
      <protection/>
    </xf>
    <xf numFmtId="0" fontId="0" fillId="21" borderId="1" xfId="25" applyFont="1" applyFill="1" applyBorder="1" applyAlignment="1">
      <alignment horizontal="center" vertical="center"/>
    </xf>
    <xf numFmtId="0" fontId="20" fillId="0" borderId="0" xfId="20" applyFont="1" applyAlignment="1">
      <alignment horizontal="center" vertical="center"/>
      <protection/>
    </xf>
    <xf numFmtId="0" fontId="20" fillId="0" borderId="0" xfId="20" applyFont="1" applyAlignment="1">
      <alignment horizontal="center" vertical="center" wrapText="1"/>
      <protection/>
    </xf>
    <xf numFmtId="0" fontId="21" fillId="0" borderId="0" xfId="20" applyFont="1" applyAlignment="1">
      <alignment vertical="center"/>
      <protection/>
    </xf>
    <xf numFmtId="0" fontId="21" fillId="0" borderId="0" xfId="20" applyFont="1">
      <alignment/>
      <protection/>
    </xf>
    <xf numFmtId="0" fontId="10" fillId="0" borderId="0" xfId="20" applyFont="1" applyAlignment="1">
      <alignment horizontal="center" vertical="center"/>
      <protection/>
    </xf>
    <xf numFmtId="0" fontId="3" fillId="0" borderId="0" xfId="26" applyFont="1" applyAlignment="1">
      <alignment wrapText="1"/>
      <protection/>
    </xf>
    <xf numFmtId="0" fontId="2" fillId="0" borderId="0" xfId="26" applyFont="1">
      <alignment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2" fillId="0" borderId="0" xfId="26" applyFont="1" applyAlignment="1">
      <alignment horizontal="right"/>
      <protection/>
    </xf>
    <xf numFmtId="49" fontId="2" fillId="0" borderId="0" xfId="20" applyNumberFormat="1" applyFont="1" applyAlignment="1">
      <alignment horizontal="right"/>
      <protection/>
    </xf>
    <xf numFmtId="0" fontId="2" fillId="0" borderId="0" xfId="26" applyFont="1" applyAlignment="1">
      <alignment wrapText="1"/>
      <protection/>
    </xf>
    <xf numFmtId="0" fontId="2" fillId="0" borderId="0" xfId="26" applyFont="1" applyAlignment="1" applyProtection="1">
      <alignment horizontal="left" vertical="center" wrapText="1"/>
      <protection locked="0"/>
    </xf>
    <xf numFmtId="0" fontId="2" fillId="0" borderId="0" xfId="26" applyFont="1" applyAlignment="1" applyProtection="1">
      <alignment horizontal="left" vertical="center"/>
      <protection locked="0"/>
    </xf>
    <xf numFmtId="174" fontId="2" fillId="0" borderId="0" xfId="26" applyNumberFormat="1" applyFont="1" applyAlignment="1" applyProtection="1">
      <alignment vertical="center"/>
      <protection locked="0"/>
    </xf>
    <xf numFmtId="0" fontId="2" fillId="22" borderId="0" xfId="20" applyFont="1" applyFill="1" applyAlignment="1">
      <alignment vertical="center"/>
      <protection/>
    </xf>
    <xf numFmtId="172" fontId="3" fillId="15" borderId="1" xfId="26" applyNumberFormat="1" applyFont="1" applyFill="1" applyBorder="1" applyAlignment="1">
      <alignment vertical="center"/>
      <protection/>
    </xf>
    <xf numFmtId="0" fontId="7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left" vertical="center"/>
      <protection/>
    </xf>
    <xf numFmtId="0" fontId="2" fillId="0" borderId="0" xfId="20" applyFont="1" applyAlignment="1">
      <alignment wrapText="1"/>
      <protection/>
    </xf>
    <xf numFmtId="0" fontId="10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wrapText="1"/>
      <protection/>
    </xf>
    <xf numFmtId="0" fontId="2" fillId="0" borderId="0" xfId="0" applyFont="1" applyAlignment="1">
      <alignment wrapText="1"/>
    </xf>
    <xf numFmtId="164" fontId="3" fillId="23" borderId="1" xfId="20" applyNumberFormat="1" applyFont="1" applyFill="1" applyBorder="1" applyAlignment="1">
      <alignment horizontal="right" vertical="center"/>
      <protection/>
    </xf>
    <xf numFmtId="164" fontId="3" fillId="18" borderId="1" xfId="20" applyNumberFormat="1" applyFont="1" applyFill="1" applyBorder="1" applyAlignment="1">
      <alignment horizontal="right" vertical="center"/>
      <protection/>
    </xf>
    <xf numFmtId="0" fontId="2" fillId="0" borderId="0" xfId="20" applyFont="1" applyAlignment="1">
      <alignment vertical="center" wrapText="1"/>
      <protection/>
    </xf>
    <xf numFmtId="0" fontId="12" fillId="0" borderId="0" xfId="26" applyFont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horizontal="left" vertical="center"/>
      <protection locked="0"/>
    </xf>
    <xf numFmtId="174" fontId="12" fillId="0" borderId="0" xfId="26" applyNumberFormat="1" applyFont="1" applyAlignment="1" applyProtection="1">
      <alignment vertical="center"/>
      <protection locked="0"/>
    </xf>
    <xf numFmtId="172" fontId="2" fillId="0" borderId="0" xfId="26" applyNumberFormat="1" applyFont="1" applyAlignment="1" applyProtection="1">
      <alignment horizontal="left" vertical="center"/>
      <protection locked="0"/>
    </xf>
    <xf numFmtId="0" fontId="14" fillId="0" borderId="0" xfId="20" applyFont="1" applyAlignment="1">
      <alignment horizontal="left" vertical="center" wrapText="1"/>
      <protection/>
    </xf>
    <xf numFmtId="0" fontId="3" fillId="18" borderId="2" xfId="20" applyFont="1" applyFill="1" applyBorder="1" applyAlignment="1">
      <alignment vertical="center"/>
      <protection/>
    </xf>
    <xf numFmtId="0" fontId="3" fillId="18" borderId="13" xfId="20" applyFont="1" applyFill="1" applyBorder="1" applyAlignment="1">
      <alignment vertical="center"/>
      <protection/>
    </xf>
    <xf numFmtId="0" fontId="3" fillId="23" borderId="2" xfId="20" applyFont="1" applyFill="1" applyBorder="1" applyAlignment="1">
      <alignment vertical="center"/>
      <protection/>
    </xf>
    <xf numFmtId="0" fontId="3" fillId="23" borderId="13" xfId="20" applyFont="1" applyFill="1" applyBorder="1" applyAlignment="1">
      <alignment vertical="center"/>
      <protection/>
    </xf>
    <xf numFmtId="0" fontId="3" fillId="13" borderId="2" xfId="26" applyFont="1" applyFill="1" applyBorder="1" applyAlignment="1">
      <alignment vertical="center"/>
      <protection/>
    </xf>
    <xf numFmtId="0" fontId="3" fillId="13" borderId="13" xfId="26" applyFont="1" applyFill="1" applyBorder="1" applyAlignment="1">
      <alignment vertical="center"/>
      <protection/>
    </xf>
    <xf numFmtId="0" fontId="3" fillId="24" borderId="2" xfId="26" applyFont="1" applyFill="1" applyBorder="1" applyAlignment="1">
      <alignment vertical="center"/>
      <protection/>
    </xf>
    <xf numFmtId="0" fontId="3" fillId="24" borderId="13" xfId="26" applyFont="1" applyFill="1" applyBorder="1" applyAlignment="1">
      <alignment vertical="center"/>
      <protection/>
    </xf>
    <xf numFmtId="0" fontId="3" fillId="25" borderId="2" xfId="26" applyFont="1" applyFill="1" applyBorder="1" applyAlignment="1">
      <alignment vertical="center"/>
      <protection/>
    </xf>
    <xf numFmtId="0" fontId="3" fillId="25" borderId="13" xfId="26" applyFont="1" applyFill="1" applyBorder="1" applyAlignment="1">
      <alignment vertical="center"/>
      <protection/>
    </xf>
    <xf numFmtId="0" fontId="3" fillId="26" borderId="2" xfId="26" applyFont="1" applyFill="1" applyBorder="1" applyAlignment="1">
      <alignment vertical="center"/>
      <protection/>
    </xf>
    <xf numFmtId="0" fontId="3" fillId="26" borderId="13" xfId="26" applyFont="1" applyFill="1" applyBorder="1" applyAlignment="1">
      <alignment vertical="center"/>
      <protection/>
    </xf>
    <xf numFmtId="0" fontId="3" fillId="27" borderId="2" xfId="26" applyFont="1" applyFill="1" applyBorder="1" applyAlignment="1">
      <alignment vertical="center"/>
      <protection/>
    </xf>
    <xf numFmtId="0" fontId="3" fillId="27" borderId="13" xfId="26" applyFont="1" applyFill="1" applyBorder="1" applyAlignment="1">
      <alignment vertical="center"/>
      <protection/>
    </xf>
    <xf numFmtId="0" fontId="21" fillId="0" borderId="0" xfId="26" applyFont="1">
      <alignment/>
      <protection/>
    </xf>
    <xf numFmtId="0" fontId="17" fillId="0" borderId="0" xfId="20" applyFont="1" applyAlignment="1">
      <alignment horizontal="center" vertical="center"/>
      <protection/>
    </xf>
    <xf numFmtId="0" fontId="16" fillId="0" borderId="0" xfId="0" applyFont="1"/>
    <xf numFmtId="0" fontId="21" fillId="0" borderId="0" xfId="26" applyFont="1" applyAlignment="1">
      <alignment horizontal="right"/>
      <protection/>
    </xf>
    <xf numFmtId="0" fontId="16" fillId="0" borderId="0" xfId="20" applyFont="1" applyAlignment="1">
      <alignment horizontal="center" vertical="center"/>
      <protection/>
    </xf>
    <xf numFmtId="0" fontId="21" fillId="0" borderId="0" xfId="26" applyFont="1" applyAlignment="1" applyProtection="1">
      <alignment horizontal="left" vertical="center"/>
      <protection locked="0"/>
    </xf>
    <xf numFmtId="0" fontId="17" fillId="27" borderId="13" xfId="26" applyFont="1" applyFill="1" applyBorder="1" applyAlignment="1">
      <alignment vertical="center"/>
      <protection/>
    </xf>
    <xf numFmtId="0" fontId="17" fillId="26" borderId="13" xfId="26" applyFont="1" applyFill="1" applyBorder="1" applyAlignment="1">
      <alignment vertical="center"/>
      <protection/>
    </xf>
    <xf numFmtId="0" fontId="17" fillId="25" borderId="13" xfId="26" applyFont="1" applyFill="1" applyBorder="1" applyAlignment="1">
      <alignment vertical="center"/>
      <protection/>
    </xf>
    <xf numFmtId="0" fontId="17" fillId="24" borderId="13" xfId="26" applyFont="1" applyFill="1" applyBorder="1" applyAlignment="1">
      <alignment vertical="center"/>
      <protection/>
    </xf>
    <xf numFmtId="0" fontId="17" fillId="13" borderId="13" xfId="26" applyFont="1" applyFill="1" applyBorder="1" applyAlignment="1">
      <alignment vertical="center"/>
      <protection/>
    </xf>
    <xf numFmtId="0" fontId="17" fillId="23" borderId="13" xfId="20" applyFont="1" applyFill="1" applyBorder="1" applyAlignment="1">
      <alignment vertical="center"/>
      <protection/>
    </xf>
    <xf numFmtId="0" fontId="17" fillId="18" borderId="13" xfId="20" applyFont="1" applyFill="1" applyBorder="1" applyAlignment="1">
      <alignment vertical="center"/>
      <protection/>
    </xf>
    <xf numFmtId="0" fontId="22" fillId="0" borderId="0" xfId="26" applyFont="1" applyAlignment="1" applyProtection="1">
      <alignment horizontal="left" vertical="center"/>
      <protection locked="0"/>
    </xf>
    <xf numFmtId="1" fontId="14" fillId="2" borderId="1" xfId="20" applyNumberFormat="1" applyFont="1" applyFill="1" applyBorder="1" applyAlignment="1">
      <alignment horizontal="center" vertical="center"/>
      <protection/>
    </xf>
    <xf numFmtId="14" fontId="16" fillId="3" borderId="1" xfId="20" applyNumberFormat="1" applyFont="1" applyFill="1" applyBorder="1" applyAlignment="1">
      <alignment horizontal="center" vertical="center"/>
      <protection/>
    </xf>
    <xf numFmtId="0" fontId="14" fillId="2" borderId="1" xfId="20" applyFont="1" applyFill="1" applyBorder="1" applyAlignment="1">
      <alignment horizontal="center" vertical="center"/>
      <protection/>
    </xf>
    <xf numFmtId="0" fontId="16" fillId="5" borderId="1" xfId="20" applyFont="1" applyFill="1" applyBorder="1" applyAlignment="1">
      <alignment horizontal="center" vertical="center"/>
      <protection/>
    </xf>
    <xf numFmtId="169" fontId="16" fillId="5" borderId="1" xfId="20" applyNumberFormat="1" applyFont="1" applyFill="1" applyBorder="1" applyAlignment="1">
      <alignment horizontal="center" vertical="center"/>
      <protection/>
    </xf>
    <xf numFmtId="171" fontId="14" fillId="5" borderId="1" xfId="20" applyNumberFormat="1" applyFont="1" applyFill="1" applyBorder="1" applyAlignment="1">
      <alignment horizontal="center" vertical="center"/>
      <protection/>
    </xf>
    <xf numFmtId="9" fontId="16" fillId="14" borderId="1" xfId="20" applyNumberFormat="1" applyFont="1" applyFill="1" applyBorder="1" applyAlignment="1">
      <alignment horizontal="center" vertical="center"/>
      <protection/>
    </xf>
    <xf numFmtId="1" fontId="14" fillId="14" borderId="1" xfId="20" applyNumberFormat="1" applyFont="1" applyFill="1" applyBorder="1" applyAlignment="1">
      <alignment horizontal="center" vertical="center"/>
      <protection/>
    </xf>
    <xf numFmtId="0" fontId="21" fillId="15" borderId="1" xfId="20" applyFont="1" applyFill="1" applyBorder="1">
      <alignment/>
      <protection/>
    </xf>
    <xf numFmtId="0" fontId="16" fillId="8" borderId="1" xfId="20" applyFont="1" applyFill="1" applyBorder="1" applyAlignment="1">
      <alignment horizontal="center" vertical="center"/>
      <protection/>
    </xf>
    <xf numFmtId="0" fontId="14" fillId="8" borderId="1" xfId="20" applyFont="1" applyFill="1" applyBorder="1" applyAlignment="1">
      <alignment horizontal="center" vertical="center"/>
      <protection/>
    </xf>
    <xf numFmtId="0" fontId="16" fillId="3" borderId="1" xfId="20" applyFont="1" applyFill="1" applyBorder="1" applyAlignment="1">
      <alignment horizontal="center" vertical="center"/>
      <protection/>
    </xf>
    <xf numFmtId="0" fontId="16" fillId="0" borderId="0" xfId="20" applyFont="1" applyAlignment="1">
      <alignment vertical="center"/>
      <protection/>
    </xf>
    <xf numFmtId="0" fontId="23" fillId="0" borderId="0" xfId="20" applyFont="1" applyAlignment="1">
      <alignment horizontal="center" vertical="center"/>
      <protection/>
    </xf>
    <xf numFmtId="0" fontId="21" fillId="0" borderId="0" xfId="20" applyFont="1" applyAlignment="1">
      <alignment horizontal="center" vertical="center"/>
      <protection/>
    </xf>
    <xf numFmtId="0" fontId="4" fillId="28" borderId="1" xfId="20" applyFont="1" applyFill="1" applyBorder="1" applyAlignment="1">
      <alignment vertical="center"/>
      <protection/>
    </xf>
    <xf numFmtId="0" fontId="2" fillId="26" borderId="0" xfId="20" applyFont="1" applyFill="1" applyBorder="1">
      <alignment/>
      <protection/>
    </xf>
    <xf numFmtId="0" fontId="2" fillId="26" borderId="0" xfId="20" applyFont="1" applyFill="1">
      <alignment/>
      <protection/>
    </xf>
    <xf numFmtId="0" fontId="0" fillId="26" borderId="1" xfId="20" applyFill="1" applyBorder="1" applyAlignment="1">
      <alignment horizontal="center" vertical="center"/>
      <protection/>
    </xf>
    <xf numFmtId="0" fontId="3" fillId="26" borderId="0" xfId="20" applyFont="1" applyFill="1" applyBorder="1">
      <alignment/>
      <protection/>
    </xf>
    <xf numFmtId="0" fontId="3" fillId="26" borderId="0" xfId="20" applyFont="1" applyFill="1">
      <alignment/>
      <protection/>
    </xf>
    <xf numFmtId="0" fontId="0" fillId="24" borderId="1" xfId="20" applyFill="1" applyBorder="1" applyAlignment="1">
      <alignment horizontal="center" vertical="center"/>
      <protection/>
    </xf>
    <xf numFmtId="0" fontId="4" fillId="24" borderId="0" xfId="20" applyFont="1" applyFill="1" applyBorder="1">
      <alignment/>
      <protection/>
    </xf>
    <xf numFmtId="0" fontId="4" fillId="24" borderId="0" xfId="20" applyFont="1" applyFill="1">
      <alignment/>
      <protection/>
    </xf>
    <xf numFmtId="0" fontId="2" fillId="25" borderId="0" xfId="20" applyFont="1" applyFill="1" applyBorder="1">
      <alignment/>
      <protection/>
    </xf>
    <xf numFmtId="0" fontId="2" fillId="25" borderId="0" xfId="20" applyFont="1" applyFill="1">
      <alignment/>
      <protection/>
    </xf>
    <xf numFmtId="0" fontId="0" fillId="29" borderId="1" xfId="20" applyFill="1" applyBorder="1" applyAlignment="1">
      <alignment horizontal="center" vertical="center"/>
      <protection/>
    </xf>
    <xf numFmtId="172" fontId="7" fillId="30" borderId="1" xfId="20" applyNumberFormat="1" applyFont="1" applyFill="1" applyBorder="1" applyAlignment="1">
      <alignment vertical="center"/>
      <protection/>
    </xf>
    <xf numFmtId="0" fontId="3" fillId="29" borderId="0" xfId="20" applyFont="1" applyFill="1" applyBorder="1">
      <alignment/>
      <protection/>
    </xf>
    <xf numFmtId="0" fontId="3" fillId="29" borderId="0" xfId="20" applyFont="1" applyFill="1">
      <alignment/>
      <protection/>
    </xf>
    <xf numFmtId="0" fontId="19" fillId="4" borderId="1" xfId="20" applyFont="1" applyFill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 wrapText="1"/>
      <protection/>
    </xf>
    <xf numFmtId="49" fontId="24" fillId="0" borderId="1" xfId="20" applyNumberFormat="1" applyFont="1" applyBorder="1" applyAlignment="1">
      <alignment horizontal="center" vertical="center" wrapText="1"/>
      <protection/>
    </xf>
    <xf numFmtId="0" fontId="24" fillId="2" borderId="1" xfId="20" applyFont="1" applyFill="1" applyBorder="1" applyAlignment="1">
      <alignment horizontal="center" vertical="center"/>
      <protection/>
    </xf>
    <xf numFmtId="171" fontId="19" fillId="4" borderId="1" xfId="20" applyNumberFormat="1" applyFont="1" applyFill="1" applyBorder="1" applyAlignment="1">
      <alignment horizontal="center" vertical="center"/>
      <protection/>
    </xf>
    <xf numFmtId="0" fontId="24" fillId="0" borderId="1" xfId="20" applyFont="1" applyBorder="1" applyAlignment="1">
      <alignment horizontal="center" vertical="center" wrapText="1"/>
      <protection/>
    </xf>
    <xf numFmtId="0" fontId="25" fillId="0" borderId="0" xfId="20" applyFont="1" applyBorder="1">
      <alignment/>
      <protection/>
    </xf>
    <xf numFmtId="0" fontId="25" fillId="0" borderId="0" xfId="20" applyFont="1">
      <alignment/>
      <protection/>
    </xf>
    <xf numFmtId="0" fontId="13" fillId="31" borderId="1" xfId="20" applyFont="1" applyFill="1" applyBorder="1" applyAlignment="1">
      <alignment vertical="center"/>
      <protection/>
    </xf>
    <xf numFmtId="0" fontId="13" fillId="25" borderId="0" xfId="20" applyFont="1" applyFill="1" applyBorder="1">
      <alignment/>
      <protection/>
    </xf>
    <xf numFmtId="0" fontId="13" fillId="25" borderId="0" xfId="20" applyFont="1" applyFill="1">
      <alignment/>
      <protection/>
    </xf>
    <xf numFmtId="0" fontId="13" fillId="0" borderId="0" xfId="20" applyFont="1" applyBorder="1">
      <alignment/>
      <protection/>
    </xf>
    <xf numFmtId="0" fontId="13" fillId="0" borderId="0" xfId="20" applyFont="1">
      <alignment/>
      <protection/>
    </xf>
    <xf numFmtId="1" fontId="19" fillId="0" borderId="1" xfId="20" applyNumberFormat="1" applyFont="1" applyBorder="1" applyAlignment="1">
      <alignment horizontal="center" vertical="center"/>
      <protection/>
    </xf>
    <xf numFmtId="172" fontId="19" fillId="0" borderId="1" xfId="20" applyNumberFormat="1" applyFont="1" applyBorder="1" applyAlignment="1">
      <alignment vertical="center"/>
      <protection/>
    </xf>
    <xf numFmtId="172" fontId="19" fillId="0" borderId="1" xfId="20" applyNumberFormat="1" applyFont="1" applyBorder="1" applyAlignment="1">
      <alignment horizontal="right" vertical="center"/>
      <protection/>
    </xf>
    <xf numFmtId="0" fontId="19" fillId="32" borderId="1" xfId="20" applyFont="1" applyFill="1" applyBorder="1" applyAlignment="1">
      <alignment horizontal="center" vertical="center"/>
      <protection/>
    </xf>
    <xf numFmtId="1" fontId="24" fillId="32" borderId="1" xfId="20" applyNumberFormat="1" applyFont="1" applyFill="1" applyBorder="1" applyAlignment="1">
      <alignment horizontal="center" vertical="center"/>
      <protection/>
    </xf>
    <xf numFmtId="164" fontId="19" fillId="32" borderId="1" xfId="20" applyNumberFormat="1" applyFont="1" applyFill="1" applyBorder="1" applyAlignment="1">
      <alignment horizontal="center" vertical="center"/>
      <protection/>
    </xf>
    <xf numFmtId="172" fontId="24" fillId="32" borderId="1" xfId="20" applyNumberFormat="1" applyFont="1" applyFill="1" applyBorder="1" applyAlignment="1">
      <alignment vertical="center"/>
      <protection/>
    </xf>
    <xf numFmtId="1" fontId="24" fillId="0" borderId="1" xfId="20" applyNumberFormat="1" applyFont="1" applyBorder="1" applyAlignment="1">
      <alignment horizontal="center" vertical="center"/>
      <protection/>
    </xf>
    <xf numFmtId="0" fontId="0" fillId="25" borderId="1" xfId="20" applyFill="1" applyBorder="1" applyAlignment="1">
      <alignment horizontal="center" vertical="center"/>
      <protection/>
    </xf>
    <xf numFmtId="172" fontId="7" fillId="31" borderId="1" xfId="20" applyNumberFormat="1" applyFont="1" applyFill="1" applyBorder="1" applyAlignment="1">
      <alignment vertical="center"/>
      <protection/>
    </xf>
    <xf numFmtId="167" fontId="7" fillId="2" borderId="1" xfId="20" applyNumberFormat="1" applyFont="1" applyFill="1" applyBorder="1" applyAlignment="1">
      <alignment horizontal="right" vertical="center"/>
      <protection/>
    </xf>
    <xf numFmtId="0" fontId="24" fillId="0" borderId="1" xfId="20" applyFont="1" applyBorder="1" applyAlignment="1">
      <alignment horizontal="center" vertical="center"/>
      <protection/>
    </xf>
    <xf numFmtId="171" fontId="24" fillId="4" borderId="1" xfId="20" applyNumberFormat="1" applyFont="1" applyFill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1" fontId="24" fillId="2" borderId="1" xfId="20" applyNumberFormat="1" applyFont="1" applyFill="1" applyBorder="1" applyAlignment="1">
      <alignment horizontal="center" vertical="center"/>
      <protection/>
    </xf>
    <xf numFmtId="0" fontId="13" fillId="0" borderId="1" xfId="0" applyFont="1" applyBorder="1" applyAlignment="1">
      <alignment horizontal="center"/>
    </xf>
    <xf numFmtId="0" fontId="19" fillId="12" borderId="1" xfId="20" applyFont="1" applyFill="1" applyBorder="1" applyAlignment="1">
      <alignment horizontal="center" vertical="center"/>
      <protection/>
    </xf>
    <xf numFmtId="1" fontId="24" fillId="3" borderId="1" xfId="20" applyNumberFormat="1" applyFont="1" applyFill="1" applyBorder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25" fillId="0" borderId="1" xfId="20" applyFont="1" applyBorder="1" applyAlignment="1">
      <alignment vertical="center" wrapText="1"/>
      <protection/>
    </xf>
    <xf numFmtId="0" fontId="25" fillId="0" borderId="1" xfId="20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/>
      <protection/>
    </xf>
    <xf numFmtId="49" fontId="0" fillId="0" borderId="1" xfId="0" applyNumberForma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72" fontId="19" fillId="0" borderId="1" xfId="20" applyNumberFormat="1" applyFont="1" applyBorder="1" applyAlignment="1">
      <alignment horizontal="right" vertical="center" wrapText="1"/>
      <protection/>
    </xf>
    <xf numFmtId="49" fontId="19" fillId="0" borderId="1" xfId="0" applyNumberFormat="1" applyFont="1" applyBorder="1" applyAlignment="1">
      <alignment horizontal="left" vertical="center"/>
    </xf>
    <xf numFmtId="0" fontId="13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14" fontId="19" fillId="3" borderId="1" xfId="20" applyNumberFormat="1" applyFont="1" applyFill="1" applyBorder="1" applyAlignment="1">
      <alignment horizontal="center" vertical="center"/>
      <protection/>
    </xf>
    <xf numFmtId="172" fontId="24" fillId="2" borderId="1" xfId="20" applyNumberFormat="1" applyFont="1" applyFill="1" applyBorder="1" applyAlignment="1">
      <alignment vertical="center"/>
      <protection/>
    </xf>
    <xf numFmtId="0" fontId="1" fillId="0" borderId="1" xfId="0" applyFont="1" applyBorder="1" applyAlignment="1">
      <alignment horizontal="center" vertical="center"/>
    </xf>
    <xf numFmtId="0" fontId="13" fillId="4" borderId="1" xfId="20" applyFont="1" applyFill="1" applyBorder="1" applyAlignment="1">
      <alignment horizontal="center" vertical="center"/>
      <protection/>
    </xf>
    <xf numFmtId="170" fontId="19" fillId="4" borderId="1" xfId="20" applyNumberFormat="1" applyFont="1" applyFill="1" applyBorder="1" applyAlignment="1">
      <alignment horizontal="center" vertical="center"/>
      <protection/>
    </xf>
    <xf numFmtId="0" fontId="19" fillId="12" borderId="1" xfId="0" applyFont="1" applyFill="1" applyBorder="1" applyAlignment="1">
      <alignment horizontal="center" vertical="center"/>
    </xf>
    <xf numFmtId="171" fontId="19" fillId="12" borderId="1" xfId="0" applyNumberFormat="1" applyFont="1" applyFill="1" applyBorder="1" applyAlignment="1">
      <alignment horizontal="center" vertical="center"/>
    </xf>
    <xf numFmtId="171" fontId="19" fillId="12" borderId="1" xfId="20" applyNumberFormat="1" applyFont="1" applyFill="1" applyBorder="1" applyAlignment="1">
      <alignment horizontal="center" vertical="center"/>
      <protection/>
    </xf>
    <xf numFmtId="1" fontId="19" fillId="4" borderId="1" xfId="0" applyNumberFormat="1" applyFont="1" applyFill="1" applyBorder="1" applyAlignment="1">
      <alignment horizontal="center" vertical="center"/>
    </xf>
    <xf numFmtId="2" fontId="19" fillId="0" borderId="1" xfId="20" applyNumberFormat="1" applyFont="1" applyBorder="1" applyAlignment="1">
      <alignment horizontal="center" vertical="center"/>
      <protection/>
    </xf>
    <xf numFmtId="2" fontId="19" fillId="0" borderId="1" xfId="0" applyNumberFormat="1" applyFont="1" applyBorder="1" applyAlignment="1">
      <alignment horizontal="center" vertical="center"/>
    </xf>
    <xf numFmtId="168" fontId="19" fillId="0" borderId="1" xfId="20" applyNumberFormat="1" applyFont="1" applyBorder="1" applyAlignment="1">
      <alignment horizontal="center" vertical="center"/>
      <protection/>
    </xf>
    <xf numFmtId="171" fontId="19" fillId="0" borderId="1" xfId="20" applyNumberFormat="1" applyFont="1" applyBorder="1" applyAlignment="1">
      <alignment horizontal="center" vertical="center"/>
      <protection/>
    </xf>
    <xf numFmtId="171" fontId="19" fillId="0" borderId="3" xfId="20" applyNumberFormat="1" applyFont="1" applyBorder="1" applyAlignment="1">
      <alignment horizontal="center" vertical="center"/>
      <protection/>
    </xf>
    <xf numFmtId="171" fontId="19" fillId="0" borderId="5" xfId="20" applyNumberFormat="1" applyFont="1" applyBorder="1" applyAlignment="1">
      <alignment horizontal="center" vertical="center"/>
      <protection/>
    </xf>
    <xf numFmtId="0" fontId="19" fillId="0" borderId="1" xfId="0" applyFont="1" applyBorder="1" applyAlignment="1">
      <alignment horizontal="center" vertical="center"/>
    </xf>
    <xf numFmtId="2" fontId="19" fillId="0" borderId="10" xfId="20" applyNumberFormat="1" applyFont="1" applyBorder="1" applyAlignment="1">
      <alignment horizontal="center" vertical="center"/>
      <protection/>
    </xf>
    <xf numFmtId="171" fontId="19" fillId="0" borderId="10" xfId="20" applyNumberFormat="1" applyFont="1" applyBorder="1" applyAlignment="1">
      <alignment horizontal="center" vertical="center"/>
      <protection/>
    </xf>
    <xf numFmtId="0" fontId="19" fillId="12" borderId="12" xfId="20" applyFont="1" applyFill="1" applyBorder="1" applyAlignment="1">
      <alignment horizontal="center" vertical="center"/>
      <protection/>
    </xf>
    <xf numFmtId="1" fontId="19" fillId="12" borderId="1" xfId="20" applyNumberFormat="1" applyFont="1" applyFill="1" applyBorder="1" applyAlignment="1">
      <alignment horizontal="center" vertical="center"/>
      <protection/>
    </xf>
    <xf numFmtId="2" fontId="19" fillId="12" borderId="1" xfId="0" applyNumberFormat="1" applyFont="1" applyFill="1" applyBorder="1" applyAlignment="1">
      <alignment horizontal="center" vertical="center"/>
    </xf>
    <xf numFmtId="168" fontId="19" fillId="4" borderId="1" xfId="20" applyNumberFormat="1" applyFont="1" applyFill="1" applyBorder="1" applyAlignment="1">
      <alignment horizontal="center" vertical="center"/>
      <protection/>
    </xf>
    <xf numFmtId="170" fontId="19" fillId="0" borderId="1" xfId="20" applyNumberFormat="1" applyFont="1" applyBorder="1" applyAlignment="1">
      <alignment horizontal="center" vertical="center"/>
      <protection/>
    </xf>
    <xf numFmtId="171" fontId="19" fillId="0" borderId="1" xfId="20" applyNumberFormat="1" applyFont="1" applyBorder="1" applyAlignment="1">
      <alignment horizontal="center" vertical="center" wrapText="1"/>
      <protection/>
    </xf>
    <xf numFmtId="170" fontId="19" fillId="0" borderId="1" xfId="20" applyNumberFormat="1" applyFont="1" applyBorder="1" applyAlignment="1">
      <alignment horizontal="center" vertical="center" wrapText="1"/>
      <protection/>
    </xf>
    <xf numFmtId="0" fontId="19" fillId="33" borderId="1" xfId="20" applyFont="1" applyFill="1" applyBorder="1" applyAlignment="1">
      <alignment horizontal="center" vertical="center"/>
      <protection/>
    </xf>
    <xf numFmtId="0" fontId="19" fillId="0" borderId="1" xfId="0" applyFont="1" applyBorder="1" applyAlignment="1">
      <alignment horizontal="center" vertical="center" wrapText="1"/>
    </xf>
    <xf numFmtId="0" fontId="19" fillId="8" borderId="1" xfId="20" applyFont="1" applyFill="1" applyBorder="1" applyAlignment="1">
      <alignment horizontal="center" vertical="center"/>
      <protection/>
    </xf>
    <xf numFmtId="1" fontId="13" fillId="0" borderId="1" xfId="20" applyNumberFormat="1" applyFont="1" applyBorder="1" applyAlignment="1">
      <alignment horizontal="center" vertical="center"/>
      <protection/>
    </xf>
    <xf numFmtId="171" fontId="13" fillId="0" borderId="1" xfId="20" applyNumberFormat="1" applyFont="1" applyBorder="1" applyAlignment="1">
      <alignment horizontal="center" vertical="center"/>
      <protection/>
    </xf>
    <xf numFmtId="171" fontId="24" fillId="0" borderId="1" xfId="20" applyNumberFormat="1" applyFont="1" applyBorder="1" applyAlignment="1">
      <alignment horizontal="center" vertical="center"/>
      <protection/>
    </xf>
    <xf numFmtId="171" fontId="24" fillId="12" borderId="1" xfId="20" applyNumberFormat="1" applyFont="1" applyFill="1" applyBorder="1" applyAlignment="1">
      <alignment horizontal="center" vertical="center"/>
      <protection/>
    </xf>
    <xf numFmtId="168" fontId="24" fillId="0" borderId="1" xfId="20" applyNumberFormat="1" applyFont="1" applyBorder="1" applyAlignment="1">
      <alignment horizontal="center" vertical="center"/>
      <protection/>
    </xf>
    <xf numFmtId="171" fontId="24" fillId="0" borderId="3" xfId="20" applyNumberFormat="1" applyFont="1" applyBorder="1" applyAlignment="1">
      <alignment horizontal="center" vertical="center"/>
      <protection/>
    </xf>
    <xf numFmtId="171" fontId="24" fillId="0" borderId="5" xfId="20" applyNumberFormat="1" applyFont="1" applyBorder="1" applyAlignment="1">
      <alignment horizontal="center" vertical="center"/>
      <protection/>
    </xf>
    <xf numFmtId="171" fontId="24" fillId="0" borderId="10" xfId="20" applyNumberFormat="1" applyFont="1" applyBorder="1" applyAlignment="1">
      <alignment horizontal="center" vertical="center"/>
      <protection/>
    </xf>
    <xf numFmtId="171" fontId="24" fillId="0" borderId="12" xfId="20" applyNumberFormat="1" applyFont="1" applyBorder="1" applyAlignment="1">
      <alignment horizontal="center" vertical="center"/>
      <protection/>
    </xf>
    <xf numFmtId="171" fontId="25" fillId="0" borderId="1" xfId="20" applyNumberFormat="1" applyFont="1" applyBorder="1" applyAlignment="1">
      <alignment horizontal="center" vertical="center"/>
      <protection/>
    </xf>
    <xf numFmtId="1" fontId="24" fillId="4" borderId="1" xfId="20" applyNumberFormat="1" applyFont="1" applyFill="1" applyBorder="1" applyAlignment="1">
      <alignment horizontal="center" vertical="center"/>
      <protection/>
    </xf>
    <xf numFmtId="168" fontId="24" fillId="4" borderId="1" xfId="20" applyNumberFormat="1" applyFont="1" applyFill="1" applyBorder="1" applyAlignment="1">
      <alignment horizontal="center" vertical="center"/>
      <protection/>
    </xf>
    <xf numFmtId="170" fontId="24" fillId="0" borderId="1" xfId="20" applyNumberFormat="1" applyFont="1" applyBorder="1" applyAlignment="1">
      <alignment horizontal="center" vertical="center"/>
      <protection/>
    </xf>
    <xf numFmtId="168" fontId="19" fillId="4" borderId="1" xfId="0" applyNumberFormat="1" applyFont="1" applyFill="1" applyBorder="1" applyAlignment="1">
      <alignment horizontal="center" vertical="center"/>
    </xf>
    <xf numFmtId="0" fontId="19" fillId="0" borderId="0" xfId="20" applyFont="1" applyBorder="1">
      <alignment/>
      <protection/>
    </xf>
    <xf numFmtId="0" fontId="19" fillId="0" borderId="0" xfId="20" applyFont="1">
      <alignment/>
      <protection/>
    </xf>
    <xf numFmtId="9" fontId="19" fillId="0" borderId="1" xfId="20" applyNumberFormat="1" applyFont="1" applyBorder="1" applyAlignment="1">
      <alignment horizontal="center" vertical="center"/>
      <protection/>
    </xf>
    <xf numFmtId="0" fontId="19" fillId="3" borderId="1" xfId="20" applyFont="1" applyFill="1" applyBorder="1" applyAlignment="1">
      <alignment horizontal="center" vertical="center"/>
      <protection/>
    </xf>
    <xf numFmtId="164" fontId="19" fillId="3" borderId="1" xfId="20" applyNumberFormat="1" applyFont="1" applyFill="1" applyBorder="1" applyAlignment="1">
      <alignment horizontal="right" vertical="center"/>
      <protection/>
    </xf>
    <xf numFmtId="172" fontId="24" fillId="3" borderId="1" xfId="20" applyNumberFormat="1" applyFont="1" applyFill="1" applyBorder="1" applyAlignment="1">
      <alignment vertical="center"/>
      <protection/>
    </xf>
    <xf numFmtId="0" fontId="19" fillId="12" borderId="1" xfId="20" applyFont="1" applyFill="1" applyBorder="1" applyAlignment="1">
      <alignment horizontal="center" vertical="center" wrapText="1"/>
      <protection/>
    </xf>
    <xf numFmtId="172" fontId="19" fillId="12" borderId="1" xfId="20" applyNumberFormat="1" applyFont="1" applyFill="1" applyBorder="1" applyAlignment="1">
      <alignment horizontal="right" vertical="center" wrapText="1"/>
      <protection/>
    </xf>
    <xf numFmtId="0" fontId="19" fillId="12" borderId="0" xfId="20" applyFont="1" applyFill="1" applyBorder="1">
      <alignment/>
      <protection/>
    </xf>
    <xf numFmtId="0" fontId="19" fillId="12" borderId="0" xfId="20" applyFont="1" applyFill="1">
      <alignment/>
      <protection/>
    </xf>
    <xf numFmtId="171" fontId="24" fillId="7" borderId="1" xfId="20" applyNumberFormat="1" applyFont="1" applyFill="1" applyBorder="1" applyAlignment="1">
      <alignment horizontal="center" vertical="center"/>
      <protection/>
    </xf>
    <xf numFmtId="0" fontId="24" fillId="12" borderId="1" xfId="20" applyFont="1" applyFill="1" applyBorder="1" applyAlignment="1">
      <alignment horizontal="center" vertical="center"/>
      <protection/>
    </xf>
    <xf numFmtId="171" fontId="24" fillId="5" borderId="1" xfId="20" applyNumberFormat="1" applyFont="1" applyFill="1" applyBorder="1" applyAlignment="1">
      <alignment horizontal="center" vertical="center"/>
      <protection/>
    </xf>
    <xf numFmtId="0" fontId="13" fillId="0" borderId="0" xfId="26" applyFont="1" applyAlignment="1">
      <alignment horizontal="right"/>
      <protection/>
    </xf>
    <xf numFmtId="0" fontId="25" fillId="34" borderId="1" xfId="20" applyFont="1" applyFill="1" applyBorder="1" applyAlignment="1">
      <alignment vertical="center"/>
      <protection/>
    </xf>
    <xf numFmtId="172" fontId="24" fillId="34" borderId="1" xfId="20" applyNumberFormat="1" applyFont="1" applyFill="1" applyBorder="1" applyAlignment="1">
      <alignment vertical="center"/>
      <protection/>
    </xf>
    <xf numFmtId="0" fontId="3" fillId="17" borderId="2" xfId="20" applyFont="1" applyFill="1" applyBorder="1" applyAlignment="1">
      <alignment vertical="center"/>
      <protection/>
    </xf>
    <xf numFmtId="0" fontId="3" fillId="17" borderId="13" xfId="20" applyFont="1" applyFill="1" applyBorder="1" applyAlignment="1">
      <alignment vertical="center"/>
      <protection/>
    </xf>
    <xf numFmtId="0" fontId="17" fillId="17" borderId="13" xfId="20" applyFont="1" applyFill="1" applyBorder="1" applyAlignment="1">
      <alignment vertical="center"/>
      <protection/>
    </xf>
    <xf numFmtId="164" fontId="3" fillId="17" borderId="1" xfId="20" applyNumberFormat="1" applyFont="1" applyFill="1" applyBorder="1" applyAlignment="1">
      <alignment horizontal="right" vertical="center"/>
      <protection/>
    </xf>
    <xf numFmtId="164" fontId="3" fillId="0" borderId="1" xfId="20" applyNumberFormat="1" applyFont="1" applyBorder="1" applyAlignment="1">
      <alignment horizontal="right" vertical="center"/>
      <protection/>
    </xf>
    <xf numFmtId="164" fontId="2" fillId="0" borderId="0" xfId="26" applyNumberFormat="1" applyFont="1">
      <alignment/>
      <protection/>
    </xf>
    <xf numFmtId="164" fontId="2" fillId="0" borderId="0" xfId="20" applyNumberFormat="1" applyFont="1">
      <alignment/>
      <protection/>
    </xf>
    <xf numFmtId="164" fontId="3" fillId="27" borderId="1" xfId="26" applyNumberFormat="1" applyFont="1" applyFill="1" applyBorder="1" applyAlignment="1">
      <alignment horizontal="right" vertical="center"/>
      <protection/>
    </xf>
    <xf numFmtId="164" fontId="3" fillId="26" borderId="1" xfId="26" applyNumberFormat="1" applyFont="1" applyFill="1" applyBorder="1" applyAlignment="1">
      <alignment horizontal="right" vertical="center"/>
      <protection/>
    </xf>
    <xf numFmtId="164" fontId="3" fillId="25" borderId="1" xfId="26" applyNumberFormat="1" applyFont="1" applyFill="1" applyBorder="1" applyAlignment="1">
      <alignment horizontal="right" vertical="center"/>
      <protection/>
    </xf>
    <xf numFmtId="164" fontId="3" fillId="24" borderId="1" xfId="26" applyNumberFormat="1" applyFont="1" applyFill="1" applyBorder="1" applyAlignment="1">
      <alignment horizontal="right" vertical="center"/>
      <protection/>
    </xf>
    <xf numFmtId="164" fontId="3" fillId="13" borderId="1" xfId="26" applyNumberFormat="1" applyFont="1" applyFill="1" applyBorder="1" applyAlignment="1">
      <alignment horizontal="right" vertical="center"/>
      <protection/>
    </xf>
    <xf numFmtId="164" fontId="2" fillId="0" borderId="0" xfId="20" applyNumberFormat="1" applyFont="1" applyAlignment="1">
      <alignment horizontal="right" vertical="center"/>
      <protection/>
    </xf>
    <xf numFmtId="0" fontId="10" fillId="0" borderId="0" xfId="20" applyFont="1" applyAlignment="1">
      <alignment horizontal="right" vertical="center"/>
      <protection/>
    </xf>
    <xf numFmtId="172" fontId="3" fillId="15" borderId="1" xfId="26" applyNumberFormat="1" applyFont="1" applyFill="1" applyBorder="1" applyAlignment="1">
      <alignment horizontal="right" vertical="center"/>
      <protection/>
    </xf>
    <xf numFmtId="172" fontId="6" fillId="35" borderId="1" xfId="20" applyNumberFormat="1" applyFont="1" applyFill="1" applyBorder="1" applyAlignment="1">
      <alignment horizontal="right" vertical="center" wrapText="1"/>
      <protection/>
    </xf>
    <xf numFmtId="0" fontId="0" fillId="35" borderId="1" xfId="20" applyFill="1" applyBorder="1" applyAlignment="1">
      <alignment horizontal="center" vertical="center"/>
      <protection/>
    </xf>
    <xf numFmtId="0" fontId="0" fillId="36" borderId="1" xfId="20" applyFill="1" applyBorder="1" applyAlignment="1">
      <alignment horizontal="center" vertical="center"/>
      <protection/>
    </xf>
    <xf numFmtId="171" fontId="19" fillId="35" borderId="1" xfId="20" applyNumberFormat="1" applyFont="1" applyFill="1" applyBorder="1" applyAlignment="1">
      <alignment horizontal="center" vertical="center"/>
      <protection/>
    </xf>
    <xf numFmtId="0" fontId="19" fillId="36" borderId="1" xfId="20" applyFont="1" applyFill="1" applyBorder="1" applyAlignment="1">
      <alignment horizontal="center" vertical="center"/>
      <protection/>
    </xf>
    <xf numFmtId="171" fontId="24" fillId="36" borderId="1" xfId="20" applyNumberFormat="1" applyFont="1" applyFill="1" applyBorder="1" applyAlignment="1">
      <alignment horizontal="center" vertical="center"/>
      <protection/>
    </xf>
    <xf numFmtId="172" fontId="0" fillId="36" borderId="1" xfId="20" applyNumberFormat="1" applyFont="1" applyFill="1" applyBorder="1" applyAlignment="1">
      <alignment vertical="center"/>
      <protection/>
    </xf>
    <xf numFmtId="0" fontId="0" fillId="36" borderId="1" xfId="20" applyFont="1" applyFill="1" applyBorder="1" applyAlignment="1">
      <alignment horizontal="center" vertical="center"/>
      <protection/>
    </xf>
    <xf numFmtId="0" fontId="0" fillId="35" borderId="1" xfId="20" applyFont="1" applyFill="1" applyBorder="1" applyAlignment="1">
      <alignment horizontal="center" vertical="center"/>
      <protection/>
    </xf>
    <xf numFmtId="0" fontId="19" fillId="35" borderId="1" xfId="20" applyFont="1" applyFill="1" applyBorder="1" applyAlignment="1">
      <alignment horizontal="center" vertical="center"/>
      <protection/>
    </xf>
    <xf numFmtId="171" fontId="13" fillId="35" borderId="1" xfId="20" applyNumberFormat="1" applyFont="1" applyFill="1" applyBorder="1" applyAlignment="1">
      <alignment horizontal="center" vertical="center"/>
      <protection/>
    </xf>
    <xf numFmtId="0" fontId="7" fillId="0" borderId="1" xfId="20" applyFont="1" applyBorder="1" applyAlignment="1">
      <alignment horizontal="left" vertical="center"/>
      <protection/>
    </xf>
    <xf numFmtId="0" fontId="0" fillId="0" borderId="1" xfId="20" applyFont="1" applyBorder="1" applyAlignment="1">
      <alignment horizontal="left" vertical="center"/>
      <protection/>
    </xf>
    <xf numFmtId="0" fontId="0" fillId="0" borderId="1" xfId="20" applyBorder="1" applyAlignment="1">
      <alignment horizontal="left" vertical="center"/>
      <protection/>
    </xf>
    <xf numFmtId="0" fontId="0" fillId="0" borderId="1" xfId="20" applyFont="1" applyBorder="1" applyAlignment="1">
      <alignment horizontal="left" vertical="center"/>
      <protection/>
    </xf>
    <xf numFmtId="0" fontId="0" fillId="37" borderId="1" xfId="20" applyFill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24" fillId="37" borderId="1" xfId="20" applyFont="1" applyFill="1" applyBorder="1" applyAlignment="1">
      <alignment horizontal="center" vertical="center"/>
      <protection/>
    </xf>
    <xf numFmtId="164" fontId="5" fillId="0" borderId="1" xfId="20" applyNumberFormat="1" applyFont="1" applyBorder="1" applyAlignment="1">
      <alignment horizontal="center" vertical="center" wrapText="1"/>
      <protection/>
    </xf>
    <xf numFmtId="172" fontId="5" fillId="0" borderId="1" xfId="20" applyNumberFormat="1" applyFont="1" applyBorder="1" applyAlignment="1">
      <alignment horizontal="center" vertical="center" wrapText="1"/>
      <protection/>
    </xf>
    <xf numFmtId="0" fontId="0" fillId="12" borderId="1" xfId="20" applyFill="1" applyBorder="1" applyAlignment="1">
      <alignment horizontal="left" vertical="center" wrapText="1"/>
      <protection/>
    </xf>
    <xf numFmtId="0" fontId="0" fillId="12" borderId="1" xfId="20" applyFont="1" applyFill="1" applyBorder="1" applyAlignment="1">
      <alignment horizontal="left" vertical="center" wrapText="1"/>
      <protection/>
    </xf>
    <xf numFmtId="0" fontId="0" fillId="0" borderId="1" xfId="20" applyFont="1" applyBorder="1" applyAlignment="1">
      <alignment vertical="center"/>
      <protection/>
    </xf>
    <xf numFmtId="0" fontId="0" fillId="0" borderId="1" xfId="20" applyBorder="1" applyAlignment="1">
      <alignment vertical="center"/>
      <protection/>
    </xf>
    <xf numFmtId="4" fontId="0" fillId="4" borderId="2" xfId="0" applyNumberFormat="1" applyFont="1" applyFill="1" applyBorder="1" applyAlignment="1">
      <alignment vertical="center" wrapText="1"/>
    </xf>
    <xf numFmtId="4" fontId="0" fillId="4" borderId="14" xfId="0" applyNumberFormat="1" applyFont="1" applyFill="1" applyBorder="1" applyAlignment="1">
      <alignment vertical="center" wrapText="1"/>
    </xf>
    <xf numFmtId="0" fontId="0" fillId="0" borderId="1" xfId="20" applyBorder="1" applyAlignment="1">
      <alignment vertical="center" wrapText="1"/>
      <protection/>
    </xf>
    <xf numFmtId="0" fontId="7" fillId="15" borderId="1" xfId="20" applyFont="1" applyFill="1" applyBorder="1" applyAlignment="1">
      <alignment horizontal="left" vertical="center"/>
      <protection/>
    </xf>
    <xf numFmtId="0" fontId="0" fillId="7" borderId="1" xfId="20" applyFill="1" applyBorder="1" applyAlignment="1">
      <alignment horizontal="left" vertical="center" wrapText="1"/>
      <protection/>
    </xf>
    <xf numFmtId="0" fontId="0" fillId="36" borderId="1" xfId="20" applyFill="1" applyBorder="1" applyAlignment="1">
      <alignment horizontal="left" vertical="center" wrapText="1"/>
      <protection/>
    </xf>
    <xf numFmtId="0" fontId="0" fillId="36" borderId="1" xfId="20" applyFont="1" applyFill="1" applyBorder="1" applyAlignment="1">
      <alignment horizontal="left" vertical="center"/>
      <protection/>
    </xf>
    <xf numFmtId="0" fontId="0" fillId="36" borderId="1" xfId="20" applyFill="1" applyBorder="1" applyAlignment="1">
      <alignment horizontal="left" vertical="center"/>
      <protection/>
    </xf>
    <xf numFmtId="0" fontId="0" fillId="7" borderId="1" xfId="20" applyFill="1" applyBorder="1" applyAlignment="1">
      <alignment horizontal="left" vertical="center"/>
      <protection/>
    </xf>
    <xf numFmtId="0" fontId="0" fillId="7" borderId="1" xfId="20" applyFont="1" applyFill="1" applyBorder="1" applyAlignment="1">
      <alignment horizontal="left" vertical="center" wrapText="1"/>
      <protection/>
    </xf>
    <xf numFmtId="0" fontId="7" fillId="12" borderId="1" xfId="20" applyFont="1" applyFill="1" applyBorder="1" applyAlignment="1">
      <alignment horizontal="left" vertical="center"/>
      <protection/>
    </xf>
    <xf numFmtId="0" fontId="0" fillId="36" borderId="1" xfId="20" applyFont="1" applyFill="1" applyBorder="1" applyAlignment="1">
      <alignment horizontal="left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/>
      <protection/>
    </xf>
    <xf numFmtId="0" fontId="6" fillId="0" borderId="1" xfId="20" applyFont="1" applyBorder="1" applyAlignment="1">
      <alignment horizontal="left" vertical="center" wrapText="1"/>
      <protection/>
    </xf>
    <xf numFmtId="0" fontId="0" fillId="4" borderId="1" xfId="0" applyFont="1" applyFill="1" applyBorder="1" applyAlignment="1">
      <alignment horizontal="left" vertical="center"/>
    </xf>
    <xf numFmtId="0" fontId="6" fillId="0" borderId="3" xfId="20" applyFont="1" applyBorder="1" applyAlignment="1">
      <alignment horizontal="left" vertical="center" wrapText="1"/>
      <protection/>
    </xf>
    <xf numFmtId="0" fontId="0" fillId="4" borderId="1" xfId="20" applyFill="1" applyBorder="1" applyAlignment="1">
      <alignment vertical="center" wrapText="1"/>
      <protection/>
    </xf>
    <xf numFmtId="4" fontId="0" fillId="0" borderId="1" xfId="0" applyNumberFormat="1" applyFont="1" applyBorder="1" applyAlignment="1">
      <alignment vertical="center"/>
    </xf>
    <xf numFmtId="0" fontId="0" fillId="12" borderId="1" xfId="20" applyFont="1" applyFill="1" applyBorder="1" applyAlignment="1">
      <alignment vertical="center" wrapText="1"/>
      <protection/>
    </xf>
    <xf numFmtId="0" fontId="0" fillId="12" borderId="1" xfId="20" applyFill="1" applyBorder="1" applyAlignment="1">
      <alignment vertical="center" wrapText="1"/>
      <protection/>
    </xf>
    <xf numFmtId="0" fontId="7" fillId="14" borderId="1" xfId="20" applyFont="1" applyFill="1" applyBorder="1" applyAlignment="1">
      <alignment vertical="center"/>
      <protection/>
    </xf>
    <xf numFmtId="0" fontId="6" fillId="0" borderId="10" xfId="20" applyFont="1" applyBorder="1" applyAlignment="1">
      <alignment vertical="center"/>
      <protection/>
    </xf>
    <xf numFmtId="0" fontId="6" fillId="0" borderId="1" xfId="20" applyFont="1" applyBorder="1" applyAlignment="1">
      <alignment vertical="center"/>
      <protection/>
    </xf>
    <xf numFmtId="0" fontId="6" fillId="0" borderId="1" xfId="20" applyFont="1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7" fillId="0" borderId="2" xfId="20" applyFont="1" applyBorder="1" applyAlignment="1">
      <alignment horizontal="left" vertical="center"/>
      <protection/>
    </xf>
    <xf numFmtId="0" fontId="7" fillId="0" borderId="13" xfId="20" applyFont="1" applyBorder="1" applyAlignment="1">
      <alignment horizontal="left" vertical="center"/>
      <protection/>
    </xf>
    <xf numFmtId="0" fontId="7" fillId="0" borderId="14" xfId="20" applyFont="1" applyBorder="1" applyAlignment="1">
      <alignment horizontal="left"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vertical="center"/>
      <protection/>
    </xf>
    <xf numFmtId="0" fontId="19" fillId="0" borderId="1" xfId="20" applyFont="1" applyBorder="1" applyAlignment="1">
      <alignment vertical="center" wrapText="1"/>
      <protection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7" fillId="9" borderId="1" xfId="20" applyFont="1" applyFill="1" applyBorder="1" applyAlignment="1">
      <alignment horizontal="left" vertical="center"/>
      <protection/>
    </xf>
    <xf numFmtId="0" fontId="0" fillId="7" borderId="1" xfId="20" applyFont="1" applyFill="1" applyBorder="1" applyAlignment="1">
      <alignment horizontal="left" vertical="center"/>
      <protection/>
    </xf>
    <xf numFmtId="0" fontId="7" fillId="19" borderId="1" xfId="20" applyFont="1" applyFill="1" applyBorder="1" applyAlignment="1">
      <alignment horizontal="left" vertical="center"/>
      <protection/>
    </xf>
    <xf numFmtId="0" fontId="0" fillId="35" borderId="1" xfId="20" applyFill="1" applyBorder="1" applyAlignment="1">
      <alignment horizontal="left" vertical="center"/>
      <protection/>
    </xf>
    <xf numFmtId="0" fontId="0" fillId="35" borderId="1" xfId="20" applyFill="1" applyBorder="1" applyAlignment="1">
      <alignment horizontal="left" vertical="center" wrapText="1"/>
      <protection/>
    </xf>
    <xf numFmtId="0" fontId="7" fillId="5" borderId="1" xfId="20" applyFont="1" applyFill="1" applyBorder="1" applyAlignment="1">
      <alignment horizontal="left" vertical="center"/>
      <protection/>
    </xf>
    <xf numFmtId="0" fontId="7" fillId="18" borderId="1" xfId="20" applyFont="1" applyFill="1" applyBorder="1" applyAlignment="1">
      <alignment horizontal="left" vertical="center"/>
      <protection/>
    </xf>
    <xf numFmtId="0" fontId="7" fillId="18" borderId="1" xfId="20" applyFont="1" applyFill="1" applyBorder="1" applyAlignment="1">
      <alignment horizontal="left" vertical="center" wrapText="1"/>
      <protection/>
    </xf>
    <xf numFmtId="0" fontId="0" fillId="0" borderId="1" xfId="20" applyFont="1" applyBorder="1" applyAlignment="1">
      <alignment vertical="center" wrapText="1"/>
      <protection/>
    </xf>
    <xf numFmtId="0" fontId="0" fillId="12" borderId="1" xfId="20" applyFont="1" applyFill="1" applyBorder="1" applyAlignment="1">
      <alignment horizontal="left" vertical="center"/>
      <protection/>
    </xf>
    <xf numFmtId="0" fontId="0" fillId="12" borderId="1" xfId="20" applyFill="1" applyBorder="1" applyAlignment="1">
      <alignment horizontal="left" vertical="center"/>
      <protection/>
    </xf>
    <xf numFmtId="0" fontId="2" fillId="4" borderId="1" xfId="20" applyFont="1" applyFill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11" borderId="1" xfId="20" applyFont="1" applyFill="1" applyBorder="1" applyAlignment="1">
      <alignment vertical="center"/>
      <protection/>
    </xf>
    <xf numFmtId="49" fontId="8" fillId="0" borderId="1" xfId="20" applyNumberFormat="1" applyFont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vertical="center"/>
      <protection/>
    </xf>
    <xf numFmtId="0" fontId="25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6" fillId="0" borderId="1" xfId="20" applyFont="1" applyBorder="1" applyAlignment="1">
      <alignment vertical="center" wrapText="1"/>
      <protection/>
    </xf>
    <xf numFmtId="0" fontId="8" fillId="2" borderId="1" xfId="20" applyFont="1" applyFill="1" applyBorder="1" applyAlignment="1">
      <alignment horizontal="left" vertical="center"/>
      <protection/>
    </xf>
    <xf numFmtId="0" fontId="8" fillId="30" borderId="1" xfId="20" applyFont="1" applyFill="1" applyBorder="1" applyAlignment="1">
      <alignment horizontal="left" vertical="center"/>
      <protection/>
    </xf>
    <xf numFmtId="0" fontId="19" fillId="0" borderId="1" xfId="20" applyFont="1" applyBorder="1" applyAlignment="1">
      <alignment vertical="center"/>
      <protection/>
    </xf>
    <xf numFmtId="0" fontId="0" fillId="4" borderId="1" xfId="20" applyFont="1" applyFill="1" applyBorder="1" applyAlignment="1">
      <alignment vertical="center" wrapText="1"/>
      <protection/>
    </xf>
    <xf numFmtId="0" fontId="5" fillId="11" borderId="1" xfId="20" applyFont="1" applyFill="1" applyBorder="1" applyAlignment="1">
      <alignment horizontal="left" vertical="center"/>
      <protection/>
    </xf>
    <xf numFmtId="0" fontId="8" fillId="0" borderId="1" xfId="20" applyFont="1" applyBorder="1" applyAlignment="1">
      <alignment horizontal="left" vertical="center" wrapText="1"/>
      <protection/>
    </xf>
    <xf numFmtId="0" fontId="5" fillId="28" borderId="1" xfId="20" applyFont="1" applyFill="1" applyBorder="1" applyAlignment="1">
      <alignment horizontal="left" vertical="center"/>
      <protection/>
    </xf>
    <xf numFmtId="0" fontId="24" fillId="3" borderId="1" xfId="0" applyFont="1" applyFill="1" applyBorder="1" applyAlignment="1">
      <alignment horizontal="left" vertical="center"/>
    </xf>
    <xf numFmtId="0" fontId="0" fillId="0" borderId="1" xfId="20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/>
    </xf>
    <xf numFmtId="0" fontId="7" fillId="26" borderId="1" xfId="20" applyFont="1" applyFill="1" applyBorder="1" applyAlignment="1">
      <alignment vertical="center"/>
      <protection/>
    </xf>
    <xf numFmtId="0" fontId="19" fillId="0" borderId="1" xfId="20" applyFont="1" applyBorder="1" applyAlignment="1">
      <alignment horizontal="left" vertical="center"/>
      <protection/>
    </xf>
    <xf numFmtId="1" fontId="19" fillId="0" borderId="2" xfId="20" applyNumberFormat="1" applyFont="1" applyBorder="1" applyAlignment="1">
      <alignment horizontal="center" vertical="center"/>
      <protection/>
    </xf>
    <xf numFmtId="1" fontId="19" fillId="0" borderId="13" xfId="20" applyNumberFormat="1" applyFont="1" applyBorder="1" applyAlignment="1">
      <alignment horizontal="center" vertical="center"/>
      <protection/>
    </xf>
    <xf numFmtId="1" fontId="19" fillId="0" borderId="14" xfId="20" applyNumberFormat="1" applyFont="1" applyBorder="1" applyAlignment="1">
      <alignment horizontal="center" vertical="center"/>
      <protection/>
    </xf>
    <xf numFmtId="0" fontId="7" fillId="38" borderId="1" xfId="0" applyFont="1" applyFill="1" applyBorder="1" applyAlignment="1">
      <alignment horizontal="left" vertical="center"/>
    </xf>
    <xf numFmtId="0" fontId="0" fillId="4" borderId="1" xfId="20" applyFill="1" applyBorder="1" applyAlignment="1">
      <alignment horizontal="left" vertical="center" wrapText="1"/>
      <protection/>
    </xf>
    <xf numFmtId="0" fontId="24" fillId="0" borderId="1" xfId="20" applyFont="1" applyBorder="1" applyAlignment="1">
      <alignment horizontal="left" vertical="center"/>
      <protection/>
    </xf>
    <xf numFmtId="4" fontId="0" fillId="12" borderId="1" xfId="0" applyNumberFormat="1" applyFill="1" applyBorder="1" applyAlignment="1">
      <alignment vertical="center"/>
    </xf>
    <xf numFmtId="4" fontId="0" fillId="12" borderId="1" xfId="0" applyNumberFormat="1" applyFont="1" applyFill="1" applyBorder="1" applyAlignment="1">
      <alignment vertical="center"/>
    </xf>
    <xf numFmtId="0" fontId="0" fillId="4" borderId="1" xfId="20" applyFont="1" applyFill="1" applyBorder="1" applyAlignment="1">
      <alignment horizontal="left" vertical="center" wrapText="1"/>
      <protection/>
    </xf>
    <xf numFmtId="0" fontId="0" fillId="4" borderId="1" xfId="0" applyFont="1" applyFill="1" applyBorder="1" applyAlignment="1">
      <alignment vertical="center"/>
    </xf>
    <xf numFmtId="0" fontId="24" fillId="32" borderId="1" xfId="20" applyFont="1" applyFill="1" applyBorder="1" applyAlignment="1">
      <alignment horizontal="left" vertical="center"/>
      <protection/>
    </xf>
    <xf numFmtId="0" fontId="24" fillId="32" borderId="1" xfId="20" applyFont="1" applyFill="1" applyBorder="1" applyAlignment="1">
      <alignment vertical="center"/>
      <protection/>
    </xf>
    <xf numFmtId="165" fontId="7" fillId="0" borderId="1" xfId="20" applyNumberFormat="1" applyFont="1" applyBorder="1" applyAlignment="1">
      <alignment vertical="center"/>
      <protection/>
    </xf>
    <xf numFmtId="0" fontId="7" fillId="5" borderId="1" xfId="20" applyFont="1" applyFill="1" applyBorder="1" applyAlignment="1">
      <alignment vertical="center"/>
      <protection/>
    </xf>
    <xf numFmtId="0" fontId="24" fillId="0" borderId="1" xfId="20" applyFont="1" applyBorder="1" applyAlignment="1">
      <alignment vertical="center"/>
      <protection/>
    </xf>
    <xf numFmtId="0" fontId="7" fillId="0" borderId="1" xfId="0" applyFont="1" applyBorder="1" applyAlignment="1">
      <alignment horizontal="left" vertical="center"/>
    </xf>
    <xf numFmtId="0" fontId="0" fillId="0" borderId="1" xfId="20" applyFont="1" applyBorder="1" applyAlignment="1">
      <alignment horizontal="left" vertical="center" wrapText="1"/>
      <protection/>
    </xf>
    <xf numFmtId="0" fontId="7" fillId="13" borderId="1" xfId="0" applyFont="1" applyFill="1" applyBorder="1" applyAlignment="1">
      <alignment horizontal="left" vertical="center"/>
    </xf>
    <xf numFmtId="0" fontId="19" fillId="12" borderId="1" xfId="20" applyFont="1" applyFill="1" applyBorder="1" applyAlignment="1">
      <alignment horizontal="left" vertical="center" wrapText="1"/>
      <protection/>
    </xf>
    <xf numFmtId="0" fontId="7" fillId="4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left" vertical="center"/>
    </xf>
    <xf numFmtId="0" fontId="24" fillId="2" borderId="1" xfId="20" applyFont="1" applyFill="1" applyBorder="1" applyAlignment="1">
      <alignment vertical="center"/>
      <protection/>
    </xf>
    <xf numFmtId="0" fontId="7" fillId="8" borderId="1" xfId="20" applyFont="1" applyFill="1" applyBorder="1" applyAlignment="1">
      <alignment vertical="center"/>
      <protection/>
    </xf>
    <xf numFmtId="0" fontId="0" fillId="0" borderId="1" xfId="0" applyFont="1" applyBorder="1" applyAlignment="1">
      <alignment vertical="center" wrapText="1"/>
    </xf>
    <xf numFmtId="0" fontId="0" fillId="0" borderId="2" xfId="20" applyFont="1" applyBorder="1" applyAlignment="1">
      <alignment vertical="center" wrapText="1"/>
      <protection/>
    </xf>
    <xf numFmtId="0" fontId="0" fillId="0" borderId="14" xfId="20" applyFont="1" applyBorder="1" applyAlignment="1">
      <alignment vertical="center" wrapText="1"/>
      <protection/>
    </xf>
    <xf numFmtId="0" fontId="7" fillId="8" borderId="1" xfId="20" applyFont="1" applyFill="1" applyBorder="1" applyAlignment="1">
      <alignment vertical="center" wrapText="1"/>
      <protection/>
    </xf>
    <xf numFmtId="0" fontId="25" fillId="34" borderId="1" xfId="20" applyFont="1" applyFill="1" applyBorder="1" applyAlignment="1">
      <alignment horizontal="left" vertical="center"/>
      <protection/>
    </xf>
    <xf numFmtId="0" fontId="0" fillId="12" borderId="1" xfId="0" applyFont="1" applyFill="1" applyBorder="1" applyAlignment="1">
      <alignment vertical="center" wrapText="1"/>
    </xf>
    <xf numFmtId="171" fontId="19" fillId="12" borderId="2" xfId="20" applyNumberFormat="1" applyFont="1" applyFill="1" applyBorder="1" applyAlignment="1">
      <alignment horizontal="center" vertical="center"/>
      <protection/>
    </xf>
    <xf numFmtId="171" fontId="19" fillId="12" borderId="13" xfId="20" applyNumberFormat="1" applyFont="1" applyFill="1" applyBorder="1" applyAlignment="1">
      <alignment horizontal="center" vertical="center"/>
      <protection/>
    </xf>
    <xf numFmtId="171" fontId="19" fillId="12" borderId="14" xfId="20" applyNumberFormat="1" applyFont="1" applyFill="1" applyBorder="1" applyAlignment="1">
      <alignment horizontal="center" vertical="center"/>
      <protection/>
    </xf>
    <xf numFmtId="0" fontId="6" fillId="0" borderId="5" xfId="20" applyFont="1" applyBorder="1" applyAlignment="1">
      <alignment vertical="center"/>
      <protection/>
    </xf>
    <xf numFmtId="0" fontId="0" fillId="0" borderId="15" xfId="20" applyBorder="1" applyAlignment="1">
      <alignment vertical="center" wrapText="1"/>
      <protection/>
    </xf>
    <xf numFmtId="0" fontId="0" fillId="0" borderId="16" xfId="20" applyBorder="1" applyAlignment="1">
      <alignment vertical="center" wrapText="1"/>
      <protection/>
    </xf>
    <xf numFmtId="0" fontId="3" fillId="0" borderId="0" xfId="26" applyFont="1" applyAlignment="1">
      <alignment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6" applyFont="1" applyAlignment="1">
      <alignment vertical="center" wrapText="1"/>
      <protection/>
    </xf>
    <xf numFmtId="0" fontId="0" fillId="0" borderId="1" xfId="25" applyFont="1" applyBorder="1" applyAlignment="1">
      <alignment horizontal="left" vertical="center"/>
    </xf>
    <xf numFmtId="0" fontId="0" fillId="12" borderId="1" xfId="0" applyFill="1" applyBorder="1" applyAlignment="1">
      <alignment vertical="center"/>
    </xf>
    <xf numFmtId="0" fontId="0" fillId="12" borderId="1" xfId="0" applyFont="1" applyFill="1" applyBorder="1" applyAlignment="1">
      <alignment vertical="center"/>
    </xf>
    <xf numFmtId="0" fontId="7" fillId="14" borderId="1" xfId="20" applyFont="1" applyFill="1" applyBorder="1" applyAlignment="1">
      <alignment horizontal="left" vertical="center"/>
      <protection/>
    </xf>
    <xf numFmtId="0" fontId="3" fillId="15" borderId="2" xfId="26" applyFont="1" applyFill="1" applyBorder="1" applyAlignment="1">
      <alignment horizontal="left" vertical="center"/>
      <protection/>
    </xf>
    <xf numFmtId="0" fontId="3" fillId="15" borderId="13" xfId="26" applyFont="1" applyFill="1" applyBorder="1" applyAlignment="1">
      <alignment horizontal="left" vertical="center"/>
      <protection/>
    </xf>
    <xf numFmtId="0" fontId="3" fillId="15" borderId="14" xfId="26" applyFont="1" applyFill="1" applyBorder="1" applyAlignment="1">
      <alignment horizontal="left" vertical="center"/>
      <protection/>
    </xf>
    <xf numFmtId="0" fontId="24" fillId="31" borderId="1" xfId="20" applyFont="1" applyFill="1" applyBorder="1" applyAlignment="1">
      <alignment horizontal="left" vertical="center"/>
      <protection/>
    </xf>
    <xf numFmtId="0" fontId="7" fillId="24" borderId="2" xfId="20" applyFont="1" applyFill="1" applyBorder="1" applyAlignment="1">
      <alignment horizontal="left" vertical="center"/>
      <protection/>
    </xf>
    <xf numFmtId="0" fontId="7" fillId="24" borderId="13" xfId="20" applyFont="1" applyFill="1" applyBorder="1" applyAlignment="1">
      <alignment horizontal="left" vertical="center"/>
      <protection/>
    </xf>
    <xf numFmtId="0" fontId="7" fillId="24" borderId="14" xfId="20" applyFont="1" applyFill="1" applyBorder="1" applyAlignment="1">
      <alignment horizontal="left" vertical="center"/>
      <protection/>
    </xf>
    <xf numFmtId="0" fontId="7" fillId="31" borderId="1" xfId="20" applyFont="1" applyFill="1" applyBorder="1" applyAlignment="1">
      <alignment horizontal="left" vertical="center"/>
      <protection/>
    </xf>
    <xf numFmtId="0" fontId="0" fillId="0" borderId="2" xfId="20" applyFont="1" applyBorder="1" applyAlignment="1">
      <alignment horizontal="left" vertical="center" wrapText="1"/>
      <protection/>
    </xf>
    <xf numFmtId="0" fontId="0" fillId="0" borderId="14" xfId="20" applyFont="1" applyBorder="1" applyAlignment="1">
      <alignment horizontal="left" vertical="center" wrapText="1"/>
      <protection/>
    </xf>
    <xf numFmtId="0" fontId="3" fillId="0" borderId="2" xfId="26" applyFont="1" applyBorder="1" applyAlignment="1">
      <alignment horizontal="left" vertical="center"/>
      <protection/>
    </xf>
    <xf numFmtId="0" fontId="3" fillId="0" borderId="13" xfId="26" applyFont="1" applyBorder="1" applyAlignment="1">
      <alignment horizontal="left" vertical="center"/>
      <protection/>
    </xf>
    <xf numFmtId="0" fontId="3" fillId="0" borderId="14" xfId="26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13" xfId="20" applyFont="1" applyBorder="1" applyAlignment="1">
      <alignment horizontal="left" vertical="center"/>
      <protection/>
    </xf>
    <xf numFmtId="0" fontId="3" fillId="0" borderId="14" xfId="20" applyFont="1" applyBorder="1" applyAlignment="1">
      <alignment horizontal="left" vertical="center"/>
      <protection/>
    </xf>
    <xf numFmtId="0" fontId="0" fillId="0" borderId="2" xfId="20" applyBorder="1" applyAlignment="1">
      <alignment vertical="center"/>
      <protection/>
    </xf>
    <xf numFmtId="0" fontId="0" fillId="0" borderId="14" xfId="20" applyBorder="1" applyAlignment="1">
      <alignment vertical="center"/>
      <protection/>
    </xf>
    <xf numFmtId="0" fontId="7" fillId="0" borderId="0" xfId="20" applyFont="1" applyBorder="1" applyAlignment="1">
      <alignment horizontal="lef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2" xfId="22"/>
    <cellStyle name="Normální 10 2" xfId="23"/>
    <cellStyle name="Normální 2 2" xfId="24"/>
    <cellStyle name="Vysvětlující text" xfId="25"/>
    <cellStyle name="Normal 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22"/>
  <sheetViews>
    <sheetView tabSelected="1" view="pageBreakPreview" zoomScale="75" zoomScaleSheetLayoutView="75" workbookViewId="0" topLeftCell="A492">
      <selection activeCell="A521" sqref="A521:P521"/>
    </sheetView>
  </sheetViews>
  <sheetFormatPr defaultColWidth="9.140625" defaultRowHeight="12.75"/>
  <cols>
    <col min="1" max="1" width="14.140625" style="3" customWidth="1"/>
    <col min="2" max="2" width="47.140625" style="1" customWidth="1"/>
    <col min="3" max="3" width="52.28125" style="1" customWidth="1"/>
    <col min="4" max="4" width="12.28125" style="17" customWidth="1"/>
    <col min="5" max="5" width="11.00390625" style="224" customWidth="1"/>
    <col min="6" max="6" width="13.140625" style="224" customWidth="1"/>
    <col min="7" max="7" width="12.57421875" style="224" customWidth="1"/>
    <col min="8" max="9" width="11.00390625" style="224" customWidth="1"/>
    <col min="10" max="10" width="14.28125" style="248" customWidth="1"/>
    <col min="11" max="11" width="19.140625" style="4" customWidth="1"/>
    <col min="12" max="12" width="21.28125" style="70" customWidth="1"/>
    <col min="13" max="13" width="25.28125" style="129" customWidth="1"/>
    <col min="14" max="41" width="9.140625" style="129" customWidth="1"/>
    <col min="42" max="16384" width="9.140625" style="2" customWidth="1"/>
  </cols>
  <sheetData>
    <row r="1" spans="1:13" s="178" customFormat="1" ht="24.95" customHeight="1">
      <c r="A1" s="175"/>
      <c r="B1" s="176"/>
      <c r="C1" s="176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178" customFormat="1" ht="24.95" customHeight="1">
      <c r="A2" s="175"/>
      <c r="B2" s="176"/>
      <c r="C2" s="176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41" ht="24.95" customHeight="1">
      <c r="A3" s="179"/>
      <c r="B3" s="180" t="s">
        <v>469</v>
      </c>
      <c r="C3" s="507" t="s">
        <v>491</v>
      </c>
      <c r="D3" s="507"/>
      <c r="E3" s="507"/>
      <c r="F3" s="507"/>
      <c r="G3" s="507"/>
      <c r="H3" s="507"/>
      <c r="I3" s="220"/>
      <c r="J3" s="220"/>
      <c r="K3" s="181"/>
      <c r="L3" s="181"/>
      <c r="M3" s="18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4.95" customHeight="1">
      <c r="A4" s="179"/>
      <c r="B4" s="182"/>
      <c r="C4" s="508"/>
      <c r="D4" s="508"/>
      <c r="E4" s="508"/>
      <c r="F4" s="508"/>
      <c r="G4" s="508"/>
      <c r="H4" s="508"/>
      <c r="I4" s="221"/>
      <c r="J4" s="221"/>
      <c r="K4" s="183"/>
      <c r="L4" s="183"/>
      <c r="M4" s="18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24.95" customHeight="1">
      <c r="A5" s="179"/>
      <c r="B5" s="180" t="s">
        <v>470</v>
      </c>
      <c r="C5" s="509" t="s">
        <v>492</v>
      </c>
      <c r="D5" s="509"/>
      <c r="E5" s="509"/>
      <c r="F5" s="509"/>
      <c r="G5" s="509"/>
      <c r="H5" s="509"/>
      <c r="I5" s="220"/>
      <c r="J5" s="220"/>
      <c r="K5" s="181"/>
      <c r="L5" s="181"/>
      <c r="M5" s="18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24.95" customHeight="1">
      <c r="A6" s="179"/>
      <c r="B6" s="182"/>
      <c r="C6" s="182"/>
      <c r="D6" s="183"/>
      <c r="E6" s="221"/>
      <c r="F6" s="221"/>
      <c r="G6" s="221"/>
      <c r="H6" s="221"/>
      <c r="I6" s="221"/>
      <c r="J6" s="221"/>
      <c r="K6" s="183"/>
      <c r="L6" s="183"/>
      <c r="M6" s="18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24.95" customHeight="1">
      <c r="A7" s="179"/>
      <c r="B7" s="180" t="s">
        <v>471</v>
      </c>
      <c r="C7" s="509" t="s">
        <v>493</v>
      </c>
      <c r="D7" s="509"/>
      <c r="E7" s="509"/>
      <c r="F7" s="222"/>
      <c r="G7" s="222"/>
      <c r="H7" s="222"/>
      <c r="I7" s="363" t="s">
        <v>472</v>
      </c>
      <c r="J7" s="223"/>
      <c r="K7" s="184"/>
      <c r="L7" s="18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24.95" customHeight="1">
      <c r="A8" s="179"/>
      <c r="B8" s="186"/>
      <c r="C8" s="509" t="s">
        <v>494</v>
      </c>
      <c r="D8" s="509"/>
      <c r="E8" s="509"/>
      <c r="F8" s="222"/>
      <c r="G8" s="222"/>
      <c r="H8" s="222"/>
      <c r="I8" s="222"/>
      <c r="J8" s="224"/>
      <c r="K8" s="181"/>
      <c r="L8" s="181"/>
      <c r="M8" s="18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24.95" customHeight="1">
      <c r="A9" s="179"/>
      <c r="B9" s="186"/>
      <c r="C9" s="509" t="s">
        <v>495</v>
      </c>
      <c r="D9" s="509"/>
      <c r="E9" s="509"/>
      <c r="F9" s="220"/>
      <c r="G9" s="220"/>
      <c r="H9" s="220"/>
      <c r="I9" s="220"/>
      <c r="J9" s="220"/>
      <c r="K9" s="181"/>
      <c r="L9" s="181"/>
      <c r="M9" s="18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24.95" customHeight="1">
      <c r="A10" s="179"/>
      <c r="B10" s="186"/>
      <c r="C10" s="186"/>
      <c r="D10" s="181"/>
      <c r="E10" s="220"/>
      <c r="F10" s="220"/>
      <c r="G10" s="220"/>
      <c r="H10" s="220"/>
      <c r="I10" s="220"/>
      <c r="J10" s="220"/>
      <c r="K10" s="181"/>
      <c r="L10" s="181"/>
      <c r="M10" s="18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24.95" customHeight="1">
      <c r="A11" s="179"/>
      <c r="B11" s="182"/>
      <c r="C11" s="182"/>
      <c r="D11" s="183"/>
      <c r="E11" s="221"/>
      <c r="F11" s="221"/>
      <c r="G11" s="221"/>
      <c r="H11" s="221"/>
      <c r="I11" s="221"/>
      <c r="J11" s="221"/>
      <c r="K11" s="183"/>
      <c r="L11" s="183"/>
      <c r="M11" s="18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24.95" customHeight="1">
      <c r="A12" s="179"/>
      <c r="B12" s="180" t="s">
        <v>473</v>
      </c>
      <c r="C12" s="186"/>
      <c r="D12" s="181"/>
      <c r="E12" s="220"/>
      <c r="F12" s="220"/>
      <c r="G12" s="220"/>
      <c r="H12" s="220"/>
      <c r="I12" s="220"/>
      <c r="J12" s="220"/>
      <c r="K12" s="181"/>
      <c r="L12" s="181"/>
      <c r="M12" s="18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24.95" customHeight="1">
      <c r="A13" s="179"/>
      <c r="B13" s="182"/>
      <c r="C13" s="182"/>
      <c r="D13" s="183"/>
      <c r="E13" s="221"/>
      <c r="F13" s="221"/>
      <c r="G13" s="221"/>
      <c r="H13" s="221"/>
      <c r="I13" s="221"/>
      <c r="J13" s="221"/>
      <c r="K13" s="183"/>
      <c r="L13" s="183"/>
      <c r="M13" s="18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24.95" customHeight="1">
      <c r="A14" s="179"/>
      <c r="B14" s="182"/>
      <c r="C14" s="182"/>
      <c r="D14" s="183"/>
      <c r="E14" s="221"/>
      <c r="F14" s="221"/>
      <c r="G14" s="221"/>
      <c r="H14" s="221"/>
      <c r="I14" s="221"/>
      <c r="J14" s="221"/>
      <c r="K14" s="183"/>
      <c r="L14" s="183"/>
      <c r="M14" s="18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24.95" customHeight="1">
      <c r="A15" s="179"/>
      <c r="B15" s="182"/>
      <c r="C15" s="182"/>
      <c r="D15" s="183"/>
      <c r="E15" s="221"/>
      <c r="F15" s="221"/>
      <c r="G15" s="221"/>
      <c r="H15" s="221"/>
      <c r="I15" s="221"/>
      <c r="J15" s="221"/>
      <c r="K15" s="183"/>
      <c r="L15" s="183"/>
      <c r="M15" s="18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24.95" customHeight="1">
      <c r="A16" s="179"/>
      <c r="B16" s="182"/>
      <c r="C16" s="182"/>
      <c r="D16" s="183"/>
      <c r="E16" s="221"/>
      <c r="F16" s="221"/>
      <c r="G16" s="221"/>
      <c r="H16" s="221"/>
      <c r="I16" s="221"/>
      <c r="J16" s="221"/>
      <c r="K16" s="183"/>
      <c r="L16" s="183"/>
      <c r="M16" s="18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24.95" customHeight="1">
      <c r="A17" s="179"/>
      <c r="B17" s="182"/>
      <c r="C17" s="182"/>
      <c r="D17" s="183"/>
      <c r="E17" s="221"/>
      <c r="F17" s="221"/>
      <c r="G17" s="221"/>
      <c r="H17" s="221"/>
      <c r="I17" s="221"/>
      <c r="J17" s="221"/>
      <c r="K17" s="183"/>
      <c r="L17" s="183"/>
      <c r="M17" s="18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24.95" customHeight="1">
      <c r="A18" s="179"/>
      <c r="B18" s="180" t="s">
        <v>474</v>
      </c>
      <c r="C18" s="186" t="s">
        <v>475</v>
      </c>
      <c r="D18" s="181"/>
      <c r="E18" s="220"/>
      <c r="F18" s="220"/>
      <c r="G18" s="220"/>
      <c r="H18" s="220"/>
      <c r="I18" s="220"/>
      <c r="J18" s="220"/>
      <c r="K18" s="181"/>
      <c r="L18" s="181"/>
      <c r="M18" s="18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24.95" customHeight="1">
      <c r="A19" s="179"/>
      <c r="B19" s="186"/>
      <c r="C19" s="186" t="s">
        <v>476</v>
      </c>
      <c r="D19" s="181"/>
      <c r="E19" s="220"/>
      <c r="F19" s="220"/>
      <c r="G19" s="220"/>
      <c r="H19" s="220"/>
      <c r="I19" s="220"/>
      <c r="J19" s="220"/>
      <c r="K19" s="181"/>
      <c r="L19" s="181"/>
      <c r="M19" s="18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24.95" customHeight="1">
      <c r="A20" s="179"/>
      <c r="B20" s="186"/>
      <c r="C20" s="186" t="s">
        <v>477</v>
      </c>
      <c r="D20" s="181"/>
      <c r="E20" s="220"/>
      <c r="F20" s="220"/>
      <c r="G20" s="220"/>
      <c r="H20" s="220"/>
      <c r="I20" s="220"/>
      <c r="J20" s="220"/>
      <c r="K20" s="181"/>
      <c r="L20" s="181"/>
      <c r="M20" s="18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24.95" customHeight="1">
      <c r="A21" s="179"/>
      <c r="B21" s="186"/>
      <c r="C21" s="186" t="s">
        <v>478</v>
      </c>
      <c r="D21" s="181"/>
      <c r="E21" s="220"/>
      <c r="F21" s="220"/>
      <c r="G21" s="220"/>
      <c r="H21" s="220"/>
      <c r="I21" s="220"/>
      <c r="J21" s="220"/>
      <c r="K21" s="181"/>
      <c r="L21" s="181"/>
      <c r="M21" s="18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24.95" customHeight="1">
      <c r="A22" s="179"/>
      <c r="B22" s="186"/>
      <c r="C22" s="186" t="s">
        <v>479</v>
      </c>
      <c r="D22" s="181"/>
      <c r="E22" s="220"/>
      <c r="F22" s="220"/>
      <c r="G22" s="220"/>
      <c r="H22" s="220"/>
      <c r="I22" s="220"/>
      <c r="J22" s="220"/>
      <c r="K22" s="181"/>
      <c r="L22" s="181"/>
      <c r="M22" s="18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24.95" customHeight="1">
      <c r="A23" s="179"/>
      <c r="B23" s="182"/>
      <c r="C23" s="182"/>
      <c r="D23" s="183"/>
      <c r="E23" s="221"/>
      <c r="F23" s="221"/>
      <c r="G23" s="221"/>
      <c r="H23" s="221"/>
      <c r="I23" s="221"/>
      <c r="J23" s="221"/>
      <c r="K23" s="183"/>
      <c r="L23" s="183"/>
      <c r="M23" s="18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24.95" customHeight="1">
      <c r="A24" s="179"/>
      <c r="B24" s="180" t="s">
        <v>480</v>
      </c>
      <c r="C24" s="186" t="s">
        <v>481</v>
      </c>
      <c r="D24" s="183"/>
      <c r="E24" s="221"/>
      <c r="F24" s="221"/>
      <c r="G24" s="221"/>
      <c r="H24" s="221"/>
      <c r="I24" s="221"/>
      <c r="J24" s="221"/>
      <c r="K24" s="183"/>
      <c r="L24" s="183"/>
      <c r="M24" s="18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24.95" customHeight="1">
      <c r="A25" s="179"/>
      <c r="B25" s="182"/>
      <c r="C25" s="182"/>
      <c r="D25" s="183"/>
      <c r="E25" s="221"/>
      <c r="F25" s="221"/>
      <c r="G25" s="221"/>
      <c r="H25" s="221"/>
      <c r="I25" s="221"/>
      <c r="J25" s="221"/>
      <c r="K25" s="183"/>
      <c r="L25" s="183"/>
      <c r="M25" s="18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24.95" customHeight="1">
      <c r="A26" s="179"/>
      <c r="B26" s="182"/>
      <c r="C26" s="182"/>
      <c r="D26" s="183"/>
      <c r="E26" s="221"/>
      <c r="F26" s="221"/>
      <c r="G26" s="221"/>
      <c r="H26" s="221"/>
      <c r="I26" s="221"/>
      <c r="J26" s="221"/>
      <c r="K26" s="183"/>
      <c r="L26" s="183"/>
      <c r="M26" s="18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24.95" customHeight="1">
      <c r="A27" s="179"/>
      <c r="B27" s="182"/>
      <c r="C27" s="182"/>
      <c r="D27" s="183"/>
      <c r="E27" s="221"/>
      <c r="F27" s="221"/>
      <c r="G27" s="221"/>
      <c r="H27" s="221"/>
      <c r="I27" s="221"/>
      <c r="J27" s="221"/>
      <c r="K27" s="183"/>
      <c r="L27" s="183"/>
      <c r="M27" s="18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24.95" customHeight="1">
      <c r="A28" s="179"/>
      <c r="B28" s="187"/>
      <c r="C28" s="187"/>
      <c r="D28" s="188"/>
      <c r="E28" s="225"/>
      <c r="F28" s="225"/>
      <c r="G28" s="225"/>
      <c r="H28" s="225"/>
      <c r="I28" s="225"/>
      <c r="J28" s="225"/>
      <c r="K28" s="188"/>
      <c r="L28" s="189"/>
      <c r="M28" s="18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35.1" customHeight="1">
      <c r="A29" s="190"/>
      <c r="B29" s="514" t="s">
        <v>482</v>
      </c>
      <c r="C29" s="515"/>
      <c r="D29" s="515"/>
      <c r="E29" s="515"/>
      <c r="F29" s="515"/>
      <c r="G29" s="515"/>
      <c r="H29" s="515"/>
      <c r="I29" s="515"/>
      <c r="J29" s="515"/>
      <c r="K29" s="516"/>
      <c r="L29" s="191">
        <f>SUM(L60)</f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26.25" customHeight="1">
      <c r="A30" s="1"/>
      <c r="B30" s="192"/>
      <c r="C30" s="192"/>
      <c r="D30" s="193"/>
      <c r="E30" s="78"/>
      <c r="F30" s="78"/>
      <c r="G30" s="78"/>
      <c r="H30" s="78"/>
      <c r="I30" s="78"/>
      <c r="J30" s="78"/>
      <c r="K30" s="193"/>
      <c r="L30" s="193"/>
      <c r="M30" s="19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24.95" customHeight="1">
      <c r="A31" s="17"/>
      <c r="B31" s="194"/>
      <c r="C31" s="194"/>
      <c r="D31" s="2"/>
      <c r="E31" s="178"/>
      <c r="F31" s="178"/>
      <c r="G31" s="178"/>
      <c r="H31" s="178"/>
      <c r="I31" s="178"/>
      <c r="J31" s="17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24.95" customHeight="1">
      <c r="A32" s="179"/>
      <c r="B32" s="195"/>
      <c r="C32" s="195"/>
      <c r="D32" s="179"/>
      <c r="E32" s="175"/>
      <c r="F32" s="175"/>
      <c r="G32" s="175"/>
      <c r="H32" s="175"/>
      <c r="I32" s="175"/>
      <c r="J32" s="175"/>
      <c r="K32" s="179"/>
      <c r="L32" s="179"/>
      <c r="M32" s="17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4.95" customHeight="1">
      <c r="A33" s="179"/>
      <c r="B33" s="195"/>
      <c r="C33" s="195"/>
      <c r="D33" s="179"/>
      <c r="E33" s="175"/>
      <c r="F33" s="175"/>
      <c r="G33" s="175"/>
      <c r="H33" s="175"/>
      <c r="I33" s="175"/>
      <c r="J33" s="175"/>
      <c r="K33" s="179"/>
      <c r="L33" s="179"/>
      <c r="M33" s="17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4.95" customHeight="1">
      <c r="A34" s="179"/>
      <c r="B34" s="186" t="s">
        <v>469</v>
      </c>
      <c r="C34" s="507" t="s">
        <v>491</v>
      </c>
      <c r="D34" s="507"/>
      <c r="E34" s="507"/>
      <c r="F34" s="507"/>
      <c r="G34" s="507"/>
      <c r="H34" s="507"/>
      <c r="I34" s="220"/>
      <c r="J34" s="220"/>
      <c r="K34" s="181"/>
      <c r="L34" s="181"/>
      <c r="M34" s="18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4.95" customHeight="1">
      <c r="A35" s="179"/>
      <c r="B35" s="195"/>
      <c r="C35" s="195"/>
      <c r="D35" s="179"/>
      <c r="E35" s="175"/>
      <c r="F35" s="175"/>
      <c r="G35" s="175"/>
      <c r="H35" s="175"/>
      <c r="I35" s="175"/>
      <c r="J35" s="175"/>
      <c r="K35" s="179"/>
      <c r="L35" s="179"/>
      <c r="M35" s="17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4.95" customHeight="1">
      <c r="A36" s="179"/>
      <c r="B36" s="196" t="s">
        <v>510</v>
      </c>
      <c r="C36" s="186"/>
      <c r="D36" s="181"/>
      <c r="E36" s="220"/>
      <c r="F36" s="220"/>
      <c r="G36" s="220"/>
      <c r="H36" s="220"/>
      <c r="I36" s="220"/>
      <c r="J36" s="220"/>
      <c r="K36" s="181"/>
      <c r="L36" s="181"/>
      <c r="M36" s="18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24.95" customHeight="1">
      <c r="A37" s="179"/>
      <c r="B37" s="195"/>
      <c r="C37" s="195"/>
      <c r="D37" s="179"/>
      <c r="E37" s="175"/>
      <c r="F37" s="175"/>
      <c r="G37" s="175"/>
      <c r="H37" s="175"/>
      <c r="I37" s="175"/>
      <c r="J37" s="175"/>
      <c r="K37" s="179"/>
      <c r="L37" s="2"/>
      <c r="M37" s="17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24.95" customHeight="1">
      <c r="A38" s="179"/>
      <c r="B38" s="218" t="s">
        <v>0</v>
      </c>
      <c r="C38" s="219"/>
      <c r="D38" s="219"/>
      <c r="E38" s="226"/>
      <c r="F38" s="226"/>
      <c r="G38" s="226"/>
      <c r="H38" s="226"/>
      <c r="I38" s="226"/>
      <c r="J38" s="226"/>
      <c r="K38" s="219"/>
      <c r="L38" s="373">
        <f>SUM(L138)</f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24.95" customHeight="1">
      <c r="A39" s="179"/>
      <c r="B39" s="186"/>
      <c r="C39" s="197"/>
      <c r="D39" s="181"/>
      <c r="E39" s="220"/>
      <c r="F39" s="220"/>
      <c r="G39" s="220"/>
      <c r="H39" s="220"/>
      <c r="I39" s="220"/>
      <c r="J39" s="220"/>
      <c r="K39" s="181"/>
      <c r="L39" s="18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24.95" customHeight="1">
      <c r="A40" s="179"/>
      <c r="B40" s="216" t="s">
        <v>483</v>
      </c>
      <c r="C40" s="217"/>
      <c r="D40" s="217"/>
      <c r="E40" s="227"/>
      <c r="F40" s="227"/>
      <c r="G40" s="227"/>
      <c r="H40" s="227"/>
      <c r="I40" s="227"/>
      <c r="J40" s="227"/>
      <c r="K40" s="217"/>
      <c r="L40" s="374">
        <f>SUM(L211)</f>
        <v>0</v>
      </c>
      <c r="M40" s="37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24.95" customHeight="1">
      <c r="A41" s="179"/>
      <c r="B41" s="186"/>
      <c r="C41" s="186"/>
      <c r="D41" s="181"/>
      <c r="E41" s="220"/>
      <c r="F41" s="220"/>
      <c r="G41" s="220"/>
      <c r="H41" s="220"/>
      <c r="I41" s="220"/>
      <c r="J41" s="220"/>
      <c r="K41" s="181"/>
      <c r="L41" s="18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24.95" customHeight="1">
      <c r="A42" s="179"/>
      <c r="B42" s="214" t="s">
        <v>484</v>
      </c>
      <c r="C42" s="215"/>
      <c r="D42" s="215"/>
      <c r="E42" s="228"/>
      <c r="F42" s="228"/>
      <c r="G42" s="228"/>
      <c r="H42" s="228"/>
      <c r="I42" s="228"/>
      <c r="J42" s="228"/>
      <c r="K42" s="215"/>
      <c r="L42" s="375">
        <f>SUM(L230)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24.95" customHeight="1">
      <c r="A43" s="179"/>
      <c r="B43" s="186"/>
      <c r="C43" s="186"/>
      <c r="D43" s="181"/>
      <c r="E43" s="220"/>
      <c r="F43" s="220"/>
      <c r="G43" s="220"/>
      <c r="H43" s="220"/>
      <c r="I43" s="220"/>
      <c r="J43" s="220"/>
      <c r="K43" s="181"/>
      <c r="L43" s="18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24.95" customHeight="1">
      <c r="A44" s="179"/>
      <c r="B44" s="212" t="s">
        <v>485</v>
      </c>
      <c r="C44" s="213"/>
      <c r="D44" s="213"/>
      <c r="E44" s="229"/>
      <c r="F44" s="229"/>
      <c r="G44" s="229"/>
      <c r="H44" s="229"/>
      <c r="I44" s="229"/>
      <c r="J44" s="229"/>
      <c r="K44" s="213"/>
      <c r="L44" s="376">
        <f>SUM(L369)</f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24.95" customHeight="1">
      <c r="A45" s="179"/>
      <c r="B45" s="186"/>
      <c r="C45" s="186"/>
      <c r="D45" s="181"/>
      <c r="E45" s="220"/>
      <c r="F45" s="220"/>
      <c r="G45" s="220"/>
      <c r="H45" s="220"/>
      <c r="I45" s="220"/>
      <c r="J45" s="220"/>
      <c r="K45" s="181"/>
      <c r="L45" s="18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24.95" customHeight="1">
      <c r="A46" s="179"/>
      <c r="B46" s="210" t="s">
        <v>486</v>
      </c>
      <c r="C46" s="211"/>
      <c r="D46" s="211"/>
      <c r="E46" s="230"/>
      <c r="F46" s="230"/>
      <c r="G46" s="230"/>
      <c r="H46" s="230"/>
      <c r="I46" s="230"/>
      <c r="J46" s="230"/>
      <c r="K46" s="211"/>
      <c r="L46" s="377">
        <f>SUM(L432,L409,L389)</f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24.95" customHeight="1">
      <c r="A47" s="179"/>
      <c r="B47" s="186"/>
      <c r="C47" s="186"/>
      <c r="D47" s="181"/>
      <c r="E47" s="220"/>
      <c r="F47" s="220"/>
      <c r="G47" s="220"/>
      <c r="H47" s="220"/>
      <c r="I47" s="220"/>
      <c r="J47" s="220"/>
      <c r="K47" s="181"/>
      <c r="L47" s="18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24.95" customHeight="1">
      <c r="A48" s="179"/>
      <c r="B48" s="208" t="s">
        <v>487</v>
      </c>
      <c r="C48" s="209"/>
      <c r="D48" s="209"/>
      <c r="E48" s="231"/>
      <c r="F48" s="231"/>
      <c r="G48" s="231"/>
      <c r="H48" s="231"/>
      <c r="I48" s="231"/>
      <c r="J48" s="231"/>
      <c r="K48" s="209"/>
      <c r="L48" s="198">
        <f>SUM(L465)</f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24.95" customHeight="1">
      <c r="A49" s="179"/>
      <c r="B49" s="186"/>
      <c r="C49" s="186"/>
      <c r="D49" s="181"/>
      <c r="E49" s="220"/>
      <c r="F49" s="220"/>
      <c r="G49" s="220"/>
      <c r="H49" s="220"/>
      <c r="I49" s="220"/>
      <c r="J49" s="220"/>
      <c r="K49" s="181"/>
      <c r="L49" s="18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24.95" customHeight="1">
      <c r="A50" s="179"/>
      <c r="B50" s="206" t="s">
        <v>358</v>
      </c>
      <c r="C50" s="207"/>
      <c r="D50" s="207"/>
      <c r="E50" s="232"/>
      <c r="F50" s="232"/>
      <c r="G50" s="232"/>
      <c r="H50" s="232"/>
      <c r="I50" s="232"/>
      <c r="J50" s="232"/>
      <c r="K50" s="207"/>
      <c r="L50" s="199">
        <f>SUM(L475)</f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24.95" customHeight="1">
      <c r="A51" s="179"/>
      <c r="B51" s="200"/>
      <c r="C51" s="200"/>
      <c r="J51" s="224"/>
      <c r="K51" s="17"/>
      <c r="L51" s="37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24.95" customHeight="1">
      <c r="A52" s="179"/>
      <c r="B52" s="366" t="s">
        <v>460</v>
      </c>
      <c r="C52" s="367"/>
      <c r="D52" s="367"/>
      <c r="E52" s="368"/>
      <c r="F52" s="368"/>
      <c r="G52" s="368"/>
      <c r="H52" s="368"/>
      <c r="I52" s="368"/>
      <c r="J52" s="368"/>
      <c r="K52" s="367"/>
      <c r="L52" s="369">
        <f>SUM(L516)</f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24.95" customHeight="1">
      <c r="A53" s="179"/>
      <c r="B53" s="200"/>
      <c r="C53" s="200"/>
      <c r="J53" s="224"/>
      <c r="K53" s="17"/>
      <c r="L53" s="37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24.95" customHeight="1">
      <c r="A54" s="179"/>
      <c r="B54" s="527" t="s">
        <v>504</v>
      </c>
      <c r="C54" s="528"/>
      <c r="D54" s="528"/>
      <c r="E54" s="528"/>
      <c r="F54" s="528"/>
      <c r="G54" s="528"/>
      <c r="H54" s="528"/>
      <c r="I54" s="528"/>
      <c r="J54" s="528"/>
      <c r="K54" s="529"/>
      <c r="L54" s="370"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24.95" customHeight="1">
      <c r="A55" s="179"/>
      <c r="B55" s="200"/>
      <c r="C55" s="200"/>
      <c r="J55" s="224"/>
      <c r="K55" s="17"/>
      <c r="L55" s="37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12" s="1" customFormat="1" ht="24.95" customHeight="1">
      <c r="A56" s="179"/>
      <c r="B56" s="524" t="s">
        <v>488</v>
      </c>
      <c r="C56" s="525"/>
      <c r="D56" s="525"/>
      <c r="E56" s="525"/>
      <c r="F56" s="525"/>
      <c r="G56" s="525"/>
      <c r="H56" s="525"/>
      <c r="I56" s="525"/>
      <c r="J56" s="525"/>
      <c r="K56" s="526"/>
      <c r="L56" s="370">
        <f>SUM(L38,L40,L42,L46,L48,L50,L54,L44,L52)</f>
        <v>0</v>
      </c>
    </row>
    <row r="57" spans="1:41" ht="24.95" customHeight="1">
      <c r="A57" s="179"/>
      <c r="B57" s="195"/>
      <c r="C57" s="195"/>
      <c r="D57" s="179"/>
      <c r="E57" s="175"/>
      <c r="F57" s="175"/>
      <c r="G57" s="175"/>
      <c r="H57" s="175"/>
      <c r="I57" s="175"/>
      <c r="J57" s="175"/>
      <c r="K57" s="179"/>
      <c r="L57" s="37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12" s="1" customFormat="1" ht="24.95" customHeight="1">
      <c r="A58" s="179"/>
      <c r="B58" s="524" t="s">
        <v>489</v>
      </c>
      <c r="C58" s="525"/>
      <c r="D58" s="525"/>
      <c r="E58" s="525"/>
      <c r="F58" s="525"/>
      <c r="G58" s="525"/>
      <c r="H58" s="525"/>
      <c r="I58" s="525"/>
      <c r="J58" s="525"/>
      <c r="K58" s="526"/>
      <c r="L58" s="370">
        <f>L56*1.21-L56</f>
        <v>0</v>
      </c>
    </row>
    <row r="59" spans="1:41" ht="24.95" customHeight="1">
      <c r="A59" s="179"/>
      <c r="B59" s="195"/>
      <c r="C59" s="195"/>
      <c r="D59" s="179"/>
      <c r="E59" s="175"/>
      <c r="F59" s="175"/>
      <c r="G59" s="175"/>
      <c r="H59" s="175"/>
      <c r="I59" s="175"/>
      <c r="J59" s="175"/>
      <c r="K59" s="179"/>
      <c r="L59" s="37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24.95" customHeight="1">
      <c r="A60" s="179"/>
      <c r="B60" s="514" t="s">
        <v>490</v>
      </c>
      <c r="C60" s="515"/>
      <c r="D60" s="515"/>
      <c r="E60" s="515"/>
      <c r="F60" s="515"/>
      <c r="G60" s="515"/>
      <c r="H60" s="515"/>
      <c r="I60" s="515"/>
      <c r="J60" s="515"/>
      <c r="K60" s="516"/>
      <c r="L60" s="380">
        <f>L56*1.21</f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24.95" customHeight="1">
      <c r="A61" s="179"/>
      <c r="B61" s="186"/>
      <c r="C61" s="186"/>
      <c r="D61" s="181"/>
      <c r="E61" s="220"/>
      <c r="F61" s="220"/>
      <c r="G61" s="220"/>
      <c r="H61" s="220"/>
      <c r="I61" s="220"/>
      <c r="J61" s="220"/>
      <c r="K61" s="181"/>
      <c r="L61" s="371"/>
      <c r="M61" s="18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24.95" customHeight="1">
      <c r="A62" s="179"/>
      <c r="B62" s="201"/>
      <c r="C62" s="187"/>
      <c r="D62" s="202"/>
      <c r="E62" s="233"/>
      <c r="F62" s="233"/>
      <c r="G62" s="233"/>
      <c r="H62" s="233"/>
      <c r="I62" s="233"/>
      <c r="J62" s="233"/>
      <c r="K62" s="202"/>
      <c r="L62" s="203"/>
      <c r="M62" s="20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35.1" customHeight="1">
      <c r="A63" s="190"/>
      <c r="B63" s="194"/>
      <c r="C63" s="194"/>
      <c r="D63" s="2"/>
      <c r="E63" s="178"/>
      <c r="F63" s="178"/>
      <c r="G63" s="178"/>
      <c r="H63" s="178"/>
      <c r="I63" s="178"/>
      <c r="J63" s="17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13" s="178" customFormat="1" ht="26.25" customHeight="1">
      <c r="A64" s="177"/>
      <c r="B64" s="205"/>
      <c r="C64" s="205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1:41" s="44" customFormat="1" ht="35.1" customHeight="1">
      <c r="A65" s="43"/>
      <c r="B65" s="464" t="s">
        <v>0</v>
      </c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</row>
    <row r="66" spans="1:41" s="30" customFormat="1" ht="24.95" customHeight="1">
      <c r="A66" s="451"/>
      <c r="B66" s="452" t="s">
        <v>1</v>
      </c>
      <c r="C66" s="452" t="s">
        <v>2</v>
      </c>
      <c r="D66" s="454" t="s">
        <v>3</v>
      </c>
      <c r="E66" s="456" t="s">
        <v>115</v>
      </c>
      <c r="F66" s="456"/>
      <c r="G66" s="456"/>
      <c r="H66" s="456"/>
      <c r="I66" s="456"/>
      <c r="J66" s="456"/>
      <c r="K66" s="399" t="s">
        <v>4</v>
      </c>
      <c r="L66" s="400" t="s">
        <v>116</v>
      </c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</row>
    <row r="67" spans="1:12" ht="24.95" customHeight="1">
      <c r="A67" s="451"/>
      <c r="B67" s="452"/>
      <c r="C67" s="452"/>
      <c r="D67" s="454"/>
      <c r="E67" s="267" t="s">
        <v>276</v>
      </c>
      <c r="F67" s="267" t="s">
        <v>277</v>
      </c>
      <c r="G67" s="267" t="s">
        <v>383</v>
      </c>
      <c r="H67" s="267" t="s">
        <v>384</v>
      </c>
      <c r="I67" s="267" t="s">
        <v>385</v>
      </c>
      <c r="J67" s="298" t="s">
        <v>8</v>
      </c>
      <c r="K67" s="399"/>
      <c r="L67" s="400"/>
    </row>
    <row r="68" spans="1:12" ht="24.95" customHeight="1">
      <c r="A68" s="26"/>
      <c r="B68" s="465" t="s">
        <v>293</v>
      </c>
      <c r="C68" s="465"/>
      <c r="D68" s="465"/>
      <c r="E68" s="465"/>
      <c r="F68" s="465"/>
      <c r="G68" s="465"/>
      <c r="H68" s="465"/>
      <c r="I68" s="465"/>
      <c r="J68" s="465"/>
      <c r="K68" s="465"/>
      <c r="L68" s="465"/>
    </row>
    <row r="69" spans="1:41" s="83" customFormat="1" ht="24.95" customHeight="1">
      <c r="A69" s="26"/>
      <c r="B69" s="86" t="s">
        <v>381</v>
      </c>
      <c r="C69" s="86" t="s">
        <v>280</v>
      </c>
      <c r="D69" s="80" t="s">
        <v>279</v>
      </c>
      <c r="E69" s="291">
        <v>4</v>
      </c>
      <c r="F69" s="266">
        <v>0</v>
      </c>
      <c r="G69" s="266">
        <v>0</v>
      </c>
      <c r="H69" s="266">
        <v>0</v>
      </c>
      <c r="I69" s="266">
        <v>0</v>
      </c>
      <c r="J69" s="270">
        <f aca="true" t="shared" si="0" ref="J69:J74">SUM(E69:I69)</f>
        <v>4</v>
      </c>
      <c r="K69" s="60">
        <v>0</v>
      </c>
      <c r="L69" s="60">
        <f aca="true" t="shared" si="1" ref="L69:L74">J69*K69</f>
        <v>0</v>
      </c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</row>
    <row r="70" spans="1:41" s="83" customFormat="1" ht="24.95" customHeight="1">
      <c r="A70" s="26"/>
      <c r="B70" s="84" t="s">
        <v>281</v>
      </c>
      <c r="C70" s="84" t="s">
        <v>282</v>
      </c>
      <c r="D70" s="81" t="s">
        <v>279</v>
      </c>
      <c r="E70" s="291">
        <v>1</v>
      </c>
      <c r="F70" s="266">
        <v>0</v>
      </c>
      <c r="G70" s="266">
        <v>0</v>
      </c>
      <c r="H70" s="266">
        <v>0</v>
      </c>
      <c r="I70" s="266">
        <v>0</v>
      </c>
      <c r="J70" s="270">
        <f t="shared" si="0"/>
        <v>1</v>
      </c>
      <c r="K70" s="60">
        <v>0</v>
      </c>
      <c r="L70" s="60">
        <f t="shared" si="1"/>
        <v>0</v>
      </c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</row>
    <row r="71" spans="1:41" s="83" customFormat="1" ht="24.95" customHeight="1">
      <c r="A71" s="26"/>
      <c r="B71" s="84" t="s">
        <v>283</v>
      </c>
      <c r="C71" s="84" t="s">
        <v>284</v>
      </c>
      <c r="D71" s="81" t="s">
        <v>285</v>
      </c>
      <c r="E71" s="291">
        <v>1</v>
      </c>
      <c r="F71" s="266">
        <v>0</v>
      </c>
      <c r="G71" s="266">
        <v>0</v>
      </c>
      <c r="H71" s="266">
        <v>0</v>
      </c>
      <c r="I71" s="266">
        <v>0</v>
      </c>
      <c r="J71" s="270">
        <f t="shared" si="0"/>
        <v>1</v>
      </c>
      <c r="K71" s="60">
        <v>0</v>
      </c>
      <c r="L71" s="60">
        <f t="shared" si="1"/>
        <v>0</v>
      </c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</row>
    <row r="72" spans="1:41" s="83" customFormat="1" ht="24.95" customHeight="1">
      <c r="A72" s="26"/>
      <c r="B72" s="84" t="s">
        <v>286</v>
      </c>
      <c r="C72" s="84" t="s">
        <v>287</v>
      </c>
      <c r="D72" s="81" t="s">
        <v>288</v>
      </c>
      <c r="E72" s="291">
        <v>1</v>
      </c>
      <c r="F72" s="266">
        <v>0</v>
      </c>
      <c r="G72" s="266">
        <v>0</v>
      </c>
      <c r="H72" s="266">
        <v>0</v>
      </c>
      <c r="I72" s="266">
        <v>0</v>
      </c>
      <c r="J72" s="270">
        <f t="shared" si="0"/>
        <v>1</v>
      </c>
      <c r="K72" s="60">
        <v>0</v>
      </c>
      <c r="L72" s="60">
        <f t="shared" si="1"/>
        <v>0</v>
      </c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</row>
    <row r="73" spans="1:41" s="83" customFormat="1" ht="24.95" customHeight="1">
      <c r="A73" s="26"/>
      <c r="B73" s="84" t="s">
        <v>289</v>
      </c>
      <c r="C73" s="84" t="s">
        <v>290</v>
      </c>
      <c r="D73" s="81" t="s">
        <v>288</v>
      </c>
      <c r="E73" s="291">
        <v>1</v>
      </c>
      <c r="F73" s="266">
        <v>0</v>
      </c>
      <c r="G73" s="266">
        <v>0</v>
      </c>
      <c r="H73" s="266">
        <v>0</v>
      </c>
      <c r="I73" s="266">
        <v>0</v>
      </c>
      <c r="J73" s="270">
        <f t="shared" si="0"/>
        <v>1</v>
      </c>
      <c r="K73" s="60">
        <v>0</v>
      </c>
      <c r="L73" s="60">
        <f t="shared" si="1"/>
        <v>0</v>
      </c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</row>
    <row r="74" spans="1:41" s="83" customFormat="1" ht="24.95" customHeight="1">
      <c r="A74" s="26"/>
      <c r="B74" s="84" t="s">
        <v>291</v>
      </c>
      <c r="C74" s="84" t="s">
        <v>292</v>
      </c>
      <c r="D74" s="81" t="s">
        <v>279</v>
      </c>
      <c r="E74" s="291">
        <v>3</v>
      </c>
      <c r="F74" s="266">
        <v>0</v>
      </c>
      <c r="G74" s="266">
        <v>0</v>
      </c>
      <c r="H74" s="266">
        <v>0</v>
      </c>
      <c r="I74" s="266">
        <v>0</v>
      </c>
      <c r="J74" s="270">
        <f t="shared" si="0"/>
        <v>3</v>
      </c>
      <c r="K74" s="60">
        <v>0</v>
      </c>
      <c r="L74" s="60">
        <f t="shared" si="1"/>
        <v>0</v>
      </c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</row>
    <row r="75" spans="1:12" ht="24.95" customHeight="1">
      <c r="A75" s="26"/>
      <c r="B75" s="455" t="s">
        <v>294</v>
      </c>
      <c r="C75" s="455"/>
      <c r="D75" s="114"/>
      <c r="E75" s="292">
        <f>SUM(E69:E74)</f>
        <v>11</v>
      </c>
      <c r="F75" s="234"/>
      <c r="G75" s="234"/>
      <c r="H75" s="234"/>
      <c r="I75" s="234"/>
      <c r="J75" s="292">
        <f>SUM(J69:J74)</f>
        <v>11</v>
      </c>
      <c r="K75" s="115"/>
      <c r="L75" s="61">
        <f>SUM(L69:L74)</f>
        <v>0</v>
      </c>
    </row>
    <row r="76" spans="1:12" ht="24.95" customHeight="1">
      <c r="A76" s="26"/>
      <c r="B76" s="465" t="s">
        <v>295</v>
      </c>
      <c r="C76" s="465"/>
      <c r="D76" s="465"/>
      <c r="E76" s="465"/>
      <c r="F76" s="465"/>
      <c r="G76" s="465"/>
      <c r="H76" s="465"/>
      <c r="I76" s="465"/>
      <c r="J76" s="465"/>
      <c r="K76" s="465"/>
      <c r="L76" s="465"/>
    </row>
    <row r="77" spans="1:41" s="83" customFormat="1" ht="24.95" customHeight="1">
      <c r="A77" s="26"/>
      <c r="B77" s="84" t="s">
        <v>388</v>
      </c>
      <c r="C77" s="84" t="s">
        <v>278</v>
      </c>
      <c r="D77" s="81" t="s">
        <v>288</v>
      </c>
      <c r="E77" s="266">
        <v>0</v>
      </c>
      <c r="F77" s="266">
        <v>0</v>
      </c>
      <c r="G77" s="266">
        <v>0</v>
      </c>
      <c r="H77" s="266">
        <v>1</v>
      </c>
      <c r="I77" s="266">
        <v>0</v>
      </c>
      <c r="J77" s="270">
        <f>SUM(E77:I77)</f>
        <v>1</v>
      </c>
      <c r="K77" s="60">
        <v>0</v>
      </c>
      <c r="L77" s="60">
        <f>J77*K77</f>
        <v>0</v>
      </c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</row>
    <row r="78" spans="1:41" s="83" customFormat="1" ht="24.95" customHeight="1">
      <c r="A78" s="26"/>
      <c r="B78" s="86" t="s">
        <v>381</v>
      </c>
      <c r="C78" s="86" t="s">
        <v>280</v>
      </c>
      <c r="D78" s="80" t="s">
        <v>279</v>
      </c>
      <c r="E78" s="266">
        <v>0</v>
      </c>
      <c r="F78" s="266">
        <v>0</v>
      </c>
      <c r="G78" s="266">
        <v>0</v>
      </c>
      <c r="H78" s="266">
        <v>5</v>
      </c>
      <c r="I78" s="266">
        <v>0</v>
      </c>
      <c r="J78" s="270">
        <f>SUM(E78:I78)</f>
        <v>5</v>
      </c>
      <c r="K78" s="60">
        <v>0</v>
      </c>
      <c r="L78" s="60">
        <f aca="true" t="shared" si="2" ref="L78">J78*K78</f>
        <v>0</v>
      </c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</row>
    <row r="79" spans="1:41" s="83" customFormat="1" ht="24.95" customHeight="1">
      <c r="A79" s="26"/>
      <c r="B79" s="87" t="s">
        <v>297</v>
      </c>
      <c r="C79" s="87" t="s">
        <v>298</v>
      </c>
      <c r="D79" s="79" t="s">
        <v>299</v>
      </c>
      <c r="E79" s="266">
        <v>0</v>
      </c>
      <c r="F79" s="293">
        <v>5</v>
      </c>
      <c r="G79" s="266">
        <v>0</v>
      </c>
      <c r="H79" s="266">
        <v>0</v>
      </c>
      <c r="I79" s="266">
        <v>0</v>
      </c>
      <c r="J79" s="270">
        <f>SUM(E79:I79)</f>
        <v>5</v>
      </c>
      <c r="K79" s="60">
        <v>0</v>
      </c>
      <c r="L79" s="60">
        <f aca="true" t="shared" si="3" ref="L79:L83">J79*K79</f>
        <v>0</v>
      </c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</row>
    <row r="80" spans="1:41" s="83" customFormat="1" ht="24.95" customHeight="1">
      <c r="A80" s="26"/>
      <c r="B80" s="87" t="s">
        <v>300</v>
      </c>
      <c r="C80" s="87" t="s">
        <v>301</v>
      </c>
      <c r="D80" s="79" t="s">
        <v>288</v>
      </c>
      <c r="E80" s="266">
        <v>0</v>
      </c>
      <c r="F80" s="293">
        <v>7</v>
      </c>
      <c r="G80" s="266">
        <v>0</v>
      </c>
      <c r="H80" s="266">
        <v>0</v>
      </c>
      <c r="I80" s="90">
        <v>3</v>
      </c>
      <c r="J80" s="270">
        <f aca="true" t="shared" si="4" ref="J80:J83">SUM(E80:I80)</f>
        <v>10</v>
      </c>
      <c r="K80" s="60">
        <v>0</v>
      </c>
      <c r="L80" s="60">
        <f t="shared" si="3"/>
        <v>0</v>
      </c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</row>
    <row r="81" spans="1:41" s="83" customFormat="1" ht="24.95" customHeight="1">
      <c r="A81" s="26"/>
      <c r="B81" s="87" t="s">
        <v>302</v>
      </c>
      <c r="C81" s="87" t="s">
        <v>303</v>
      </c>
      <c r="D81" s="79" t="s">
        <v>288</v>
      </c>
      <c r="E81" s="266">
        <v>0</v>
      </c>
      <c r="F81" s="293">
        <v>13</v>
      </c>
      <c r="G81" s="266">
        <v>0</v>
      </c>
      <c r="H81" s="266">
        <v>0</v>
      </c>
      <c r="I81" s="266">
        <v>0</v>
      </c>
      <c r="J81" s="270">
        <f t="shared" si="4"/>
        <v>13</v>
      </c>
      <c r="K81" s="60">
        <v>0</v>
      </c>
      <c r="L81" s="60">
        <f t="shared" si="3"/>
        <v>0</v>
      </c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</row>
    <row r="82" spans="1:12" ht="24.95" customHeight="1">
      <c r="A82" s="26"/>
      <c r="B82" s="84" t="s">
        <v>291</v>
      </c>
      <c r="C82" s="84" t="s">
        <v>292</v>
      </c>
      <c r="D82" s="81" t="s">
        <v>279</v>
      </c>
      <c r="E82" s="266">
        <v>0</v>
      </c>
      <c r="F82" s="293">
        <v>0</v>
      </c>
      <c r="G82" s="266">
        <v>0</v>
      </c>
      <c r="H82" s="266">
        <v>0</v>
      </c>
      <c r="I82" s="90">
        <v>3</v>
      </c>
      <c r="J82" s="270">
        <f t="shared" si="4"/>
        <v>3</v>
      </c>
      <c r="K82" s="60">
        <v>0</v>
      </c>
      <c r="L82" s="60">
        <f t="shared" si="3"/>
        <v>0</v>
      </c>
    </row>
    <row r="83" spans="1:12" ht="24.95" customHeight="1">
      <c r="A83" s="26"/>
      <c r="B83" s="113" t="s">
        <v>404</v>
      </c>
      <c r="C83" s="113" t="s">
        <v>405</v>
      </c>
      <c r="D83" s="79" t="s">
        <v>406</v>
      </c>
      <c r="E83" s="266">
        <v>0</v>
      </c>
      <c r="F83" s="293">
        <v>0</v>
      </c>
      <c r="G83" s="266">
        <v>0</v>
      </c>
      <c r="H83" s="266">
        <v>0</v>
      </c>
      <c r="I83" s="90">
        <v>1</v>
      </c>
      <c r="J83" s="270">
        <f t="shared" si="4"/>
        <v>1</v>
      </c>
      <c r="K83" s="60">
        <v>0</v>
      </c>
      <c r="L83" s="60">
        <f t="shared" si="3"/>
        <v>0</v>
      </c>
    </row>
    <row r="84" spans="1:12" ht="24.95" customHeight="1">
      <c r="A84" s="26"/>
      <c r="B84" s="455" t="s">
        <v>296</v>
      </c>
      <c r="C84" s="455"/>
      <c r="D84" s="114"/>
      <c r="E84" s="292"/>
      <c r="F84" s="292">
        <f>SUM(F77:F83)</f>
        <v>25</v>
      </c>
      <c r="G84" s="292"/>
      <c r="H84" s="292">
        <f>SUM(H77:H83)</f>
        <v>6</v>
      </c>
      <c r="I84" s="292">
        <f>SUM(I77:I83)</f>
        <v>7</v>
      </c>
      <c r="J84" s="292">
        <f>SUM(J77:J83)</f>
        <v>38</v>
      </c>
      <c r="K84" s="115"/>
      <c r="L84" s="61">
        <f>SUM(L77:L83)</f>
        <v>0</v>
      </c>
    </row>
    <row r="85" spans="1:41" s="30" customFormat="1" ht="24.95" customHeight="1">
      <c r="A85" s="451"/>
      <c r="B85" s="452" t="s">
        <v>1</v>
      </c>
      <c r="C85" s="452" t="s">
        <v>2</v>
      </c>
      <c r="D85" s="454" t="s">
        <v>3</v>
      </c>
      <c r="E85" s="456" t="s">
        <v>115</v>
      </c>
      <c r="F85" s="456"/>
      <c r="G85" s="456"/>
      <c r="H85" s="456"/>
      <c r="I85" s="456"/>
      <c r="J85" s="456"/>
      <c r="K85" s="399" t="s">
        <v>4</v>
      </c>
      <c r="L85" s="400" t="s">
        <v>116</v>
      </c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</row>
    <row r="86" spans="1:12" ht="24.95" customHeight="1">
      <c r="A86" s="451"/>
      <c r="B86" s="452"/>
      <c r="C86" s="452"/>
      <c r="D86" s="454"/>
      <c r="E86" s="267" t="s">
        <v>276</v>
      </c>
      <c r="F86" s="267" t="s">
        <v>277</v>
      </c>
      <c r="G86" s="267" t="s">
        <v>383</v>
      </c>
      <c r="H86" s="267" t="s">
        <v>384</v>
      </c>
      <c r="I86" s="267" t="s">
        <v>385</v>
      </c>
      <c r="J86" s="297" t="s">
        <v>8</v>
      </c>
      <c r="K86" s="399"/>
      <c r="L86" s="400"/>
    </row>
    <row r="87" spans="1:12" ht="24.95" customHeight="1">
      <c r="A87" s="26"/>
      <c r="B87" s="457" t="s">
        <v>305</v>
      </c>
      <c r="C87" s="457"/>
      <c r="D87" s="457"/>
      <c r="E87" s="457"/>
      <c r="F87" s="457"/>
      <c r="G87" s="457"/>
      <c r="H87" s="457"/>
      <c r="I87" s="457"/>
      <c r="J87" s="457"/>
      <c r="K87" s="457"/>
      <c r="L87" s="457"/>
    </row>
    <row r="88" spans="1:12" ht="24.95" customHeight="1">
      <c r="A88" s="26"/>
      <c r="B88" s="85" t="s">
        <v>307</v>
      </c>
      <c r="C88" s="85" t="s">
        <v>308</v>
      </c>
      <c r="D88" s="88" t="s">
        <v>309</v>
      </c>
      <c r="E88" s="296">
        <v>0</v>
      </c>
      <c r="F88" s="296">
        <v>0</v>
      </c>
      <c r="G88" s="265">
        <v>59</v>
      </c>
      <c r="H88" s="296">
        <v>0</v>
      </c>
      <c r="I88" s="296">
        <v>0</v>
      </c>
      <c r="J88" s="289">
        <f>SUM(E88:I88)</f>
        <v>59</v>
      </c>
      <c r="K88" s="60">
        <v>0</v>
      </c>
      <c r="L88" s="64">
        <f aca="true" t="shared" si="5" ref="L88:L100">J88*K88</f>
        <v>0</v>
      </c>
    </row>
    <row r="89" spans="1:12" ht="24.95" customHeight="1">
      <c r="A89" s="26"/>
      <c r="B89" s="111" t="s">
        <v>391</v>
      </c>
      <c r="C89" s="111" t="s">
        <v>335</v>
      </c>
      <c r="D89" s="91" t="s">
        <v>309</v>
      </c>
      <c r="E89" s="296">
        <v>0</v>
      </c>
      <c r="F89" s="296">
        <v>0</v>
      </c>
      <c r="G89" s="296">
        <v>0</v>
      </c>
      <c r="H89" s="16">
        <v>55</v>
      </c>
      <c r="I89" s="296">
        <v>0</v>
      </c>
      <c r="J89" s="289">
        <f>SUM(E89:I89)</f>
        <v>55</v>
      </c>
      <c r="K89" s="60">
        <v>0</v>
      </c>
      <c r="L89" s="64">
        <f t="shared" si="5"/>
        <v>0</v>
      </c>
    </row>
    <row r="90" spans="1:12" ht="24.95" customHeight="1">
      <c r="A90" s="26"/>
      <c r="B90" s="85" t="s">
        <v>312</v>
      </c>
      <c r="C90" s="85" t="s">
        <v>313</v>
      </c>
      <c r="D90" s="88" t="s">
        <v>309</v>
      </c>
      <c r="E90" s="291">
        <v>28</v>
      </c>
      <c r="F90" s="296">
        <v>0</v>
      </c>
      <c r="G90" s="296">
        <v>0</v>
      </c>
      <c r="H90" s="296">
        <v>0</v>
      </c>
      <c r="I90" s="296">
        <v>0</v>
      </c>
      <c r="J90" s="289">
        <f aca="true" t="shared" si="6" ref="J90:J100">SUM(E90:I90)</f>
        <v>28</v>
      </c>
      <c r="K90" s="60">
        <v>0</v>
      </c>
      <c r="L90" s="64">
        <f t="shared" si="5"/>
        <v>0</v>
      </c>
    </row>
    <row r="91" spans="1:12" ht="24.95" customHeight="1">
      <c r="A91" s="26"/>
      <c r="B91" s="85" t="s">
        <v>386</v>
      </c>
      <c r="C91" s="85" t="s">
        <v>387</v>
      </c>
      <c r="D91" s="88" t="s">
        <v>309</v>
      </c>
      <c r="E91" s="296">
        <v>0</v>
      </c>
      <c r="F91" s="296">
        <v>0</v>
      </c>
      <c r="G91" s="294">
        <v>65</v>
      </c>
      <c r="H91" s="296">
        <v>0</v>
      </c>
      <c r="I91" s="296">
        <v>0</v>
      </c>
      <c r="J91" s="289">
        <f t="shared" si="6"/>
        <v>65</v>
      </c>
      <c r="K91" s="60">
        <v>0</v>
      </c>
      <c r="L91" s="64">
        <f t="shared" si="5"/>
        <v>0</v>
      </c>
    </row>
    <row r="92" spans="1:12" ht="24.95" customHeight="1">
      <c r="A92" s="26"/>
      <c r="B92" s="112" t="s">
        <v>393</v>
      </c>
      <c r="C92" s="112" t="s">
        <v>317</v>
      </c>
      <c r="D92" s="88" t="s">
        <v>309</v>
      </c>
      <c r="E92" s="296">
        <v>0</v>
      </c>
      <c r="F92" s="296">
        <v>0</v>
      </c>
      <c r="G92" s="294">
        <v>64</v>
      </c>
      <c r="H92" s="296">
        <v>0</v>
      </c>
      <c r="I92" s="296">
        <v>0</v>
      </c>
      <c r="J92" s="289">
        <f t="shared" si="6"/>
        <v>64</v>
      </c>
      <c r="K92" s="60">
        <v>0</v>
      </c>
      <c r="L92" s="64">
        <f t="shared" si="5"/>
        <v>0</v>
      </c>
    </row>
    <row r="93" spans="1:12" ht="24.95" customHeight="1">
      <c r="A93" s="26"/>
      <c r="B93" s="86" t="s">
        <v>501</v>
      </c>
      <c r="C93" s="86" t="s">
        <v>317</v>
      </c>
      <c r="D93" s="88" t="s">
        <v>309</v>
      </c>
      <c r="E93" s="291">
        <v>0</v>
      </c>
      <c r="F93" s="296">
        <v>0</v>
      </c>
      <c r="G93" s="296">
        <v>0</v>
      </c>
      <c r="H93" s="265">
        <v>100</v>
      </c>
      <c r="I93" s="296">
        <v>0</v>
      </c>
      <c r="J93" s="289">
        <f t="shared" si="6"/>
        <v>100</v>
      </c>
      <c r="K93" s="60">
        <v>0</v>
      </c>
      <c r="L93" s="64">
        <f t="shared" si="5"/>
        <v>0</v>
      </c>
    </row>
    <row r="94" spans="1:12" ht="24.95" customHeight="1">
      <c r="A94" s="26"/>
      <c r="B94" s="85" t="s">
        <v>318</v>
      </c>
      <c r="C94" s="85" t="s">
        <v>317</v>
      </c>
      <c r="D94" s="88" t="s">
        <v>309</v>
      </c>
      <c r="E94" s="291">
        <v>34</v>
      </c>
      <c r="F94" s="296">
        <v>0</v>
      </c>
      <c r="G94" s="296">
        <v>0</v>
      </c>
      <c r="H94" s="296">
        <v>0</v>
      </c>
      <c r="I94" s="296">
        <v>0</v>
      </c>
      <c r="J94" s="289">
        <f t="shared" si="6"/>
        <v>34</v>
      </c>
      <c r="K94" s="60">
        <v>0</v>
      </c>
      <c r="L94" s="64">
        <f t="shared" si="5"/>
        <v>0</v>
      </c>
    </row>
    <row r="95" spans="1:12" ht="24.95" customHeight="1">
      <c r="A95" s="26"/>
      <c r="B95" s="86" t="s">
        <v>320</v>
      </c>
      <c r="C95" s="86" t="s">
        <v>319</v>
      </c>
      <c r="D95" s="89" t="s">
        <v>311</v>
      </c>
      <c r="E95" s="291">
        <v>109</v>
      </c>
      <c r="F95" s="296">
        <v>0</v>
      </c>
      <c r="G95" s="296">
        <v>0</v>
      </c>
      <c r="H95" s="296">
        <v>0</v>
      </c>
      <c r="I95" s="296">
        <v>0</v>
      </c>
      <c r="J95" s="289">
        <f t="shared" si="6"/>
        <v>109</v>
      </c>
      <c r="K95" s="60">
        <v>0</v>
      </c>
      <c r="L95" s="64">
        <f t="shared" si="5"/>
        <v>0</v>
      </c>
    </row>
    <row r="96" spans="1:12" ht="24.95" customHeight="1">
      <c r="A96" s="26"/>
      <c r="B96" s="86" t="s">
        <v>321</v>
      </c>
      <c r="C96" s="86" t="s">
        <v>322</v>
      </c>
      <c r="D96" s="89" t="s">
        <v>309</v>
      </c>
      <c r="E96" s="291">
        <v>14</v>
      </c>
      <c r="F96" s="296">
        <v>0</v>
      </c>
      <c r="G96" s="296">
        <v>0</v>
      </c>
      <c r="H96" s="296">
        <v>0</v>
      </c>
      <c r="I96" s="296">
        <v>0</v>
      </c>
      <c r="J96" s="289">
        <f t="shared" si="6"/>
        <v>14</v>
      </c>
      <c r="K96" s="60">
        <v>0</v>
      </c>
      <c r="L96" s="64">
        <f t="shared" si="5"/>
        <v>0</v>
      </c>
    </row>
    <row r="97" spans="1:12" ht="24.95" customHeight="1">
      <c r="A97" s="26"/>
      <c r="B97" s="85" t="s">
        <v>332</v>
      </c>
      <c r="C97" s="85" t="s">
        <v>323</v>
      </c>
      <c r="D97" s="88" t="s">
        <v>309</v>
      </c>
      <c r="E97" s="296">
        <v>0</v>
      </c>
      <c r="F97" s="296">
        <v>0</v>
      </c>
      <c r="G97" s="296">
        <v>30</v>
      </c>
      <c r="H97" s="296">
        <v>0</v>
      </c>
      <c r="I97" s="296">
        <v>0</v>
      </c>
      <c r="J97" s="289">
        <f t="shared" si="6"/>
        <v>30</v>
      </c>
      <c r="K97" s="60">
        <v>0</v>
      </c>
      <c r="L97" s="64">
        <f t="shared" si="5"/>
        <v>0</v>
      </c>
    </row>
    <row r="98" spans="1:12" ht="24.95" customHeight="1">
      <c r="A98" s="26"/>
      <c r="B98" s="85" t="s">
        <v>325</v>
      </c>
      <c r="C98" s="85" t="s">
        <v>324</v>
      </c>
      <c r="D98" s="88" t="s">
        <v>309</v>
      </c>
      <c r="E98" s="291">
        <v>43</v>
      </c>
      <c r="F98" s="296">
        <v>0</v>
      </c>
      <c r="G98" s="296">
        <v>0</v>
      </c>
      <c r="H98" s="296">
        <v>0</v>
      </c>
      <c r="I98" s="296">
        <v>0</v>
      </c>
      <c r="J98" s="289">
        <f t="shared" si="6"/>
        <v>43</v>
      </c>
      <c r="K98" s="60">
        <v>0</v>
      </c>
      <c r="L98" s="64">
        <f t="shared" si="5"/>
        <v>0</v>
      </c>
    </row>
    <row r="99" spans="1:12" ht="24.95" customHeight="1">
      <c r="A99" s="26"/>
      <c r="B99" s="85" t="s">
        <v>500</v>
      </c>
      <c r="C99" s="85" t="s">
        <v>324</v>
      </c>
      <c r="D99" s="88" t="s">
        <v>309</v>
      </c>
      <c r="E99" s="291">
        <v>0</v>
      </c>
      <c r="F99" s="296">
        <v>0</v>
      </c>
      <c r="G99" s="296">
        <v>0</v>
      </c>
      <c r="H99" s="265">
        <v>55</v>
      </c>
      <c r="I99" s="296">
        <v>0</v>
      </c>
      <c r="J99" s="289">
        <f t="shared" si="6"/>
        <v>55</v>
      </c>
      <c r="K99" s="60">
        <v>0</v>
      </c>
      <c r="L99" s="64">
        <f aca="true" t="shared" si="7" ref="L99">J99*K99</f>
        <v>0</v>
      </c>
    </row>
    <row r="100" spans="1:12" ht="24.95" customHeight="1">
      <c r="A100" s="26"/>
      <c r="B100" s="85" t="s">
        <v>382</v>
      </c>
      <c r="C100" s="85" t="s">
        <v>326</v>
      </c>
      <c r="D100" s="88" t="s">
        <v>309</v>
      </c>
      <c r="E100" s="296">
        <v>0</v>
      </c>
      <c r="F100" s="296">
        <v>0</v>
      </c>
      <c r="G100" s="296">
        <v>44</v>
      </c>
      <c r="H100" s="296">
        <v>0</v>
      </c>
      <c r="I100" s="296">
        <v>0</v>
      </c>
      <c r="J100" s="289">
        <f t="shared" si="6"/>
        <v>44</v>
      </c>
      <c r="K100" s="60">
        <v>0</v>
      </c>
      <c r="L100" s="64">
        <f t="shared" si="5"/>
        <v>0</v>
      </c>
    </row>
    <row r="101" spans="1:12" ht="24.95" customHeight="1">
      <c r="A101" s="26"/>
      <c r="B101" s="455" t="s">
        <v>306</v>
      </c>
      <c r="C101" s="455"/>
      <c r="D101" s="19"/>
      <c r="E101" s="295">
        <f>SUM(E88:E100)</f>
        <v>228</v>
      </c>
      <c r="F101" s="295"/>
      <c r="G101" s="295">
        <f>SUM(G88:G100)</f>
        <v>262</v>
      </c>
      <c r="H101" s="295">
        <f>SUM(H88:H100)</f>
        <v>210</v>
      </c>
      <c r="I101" s="295"/>
      <c r="J101" s="295">
        <f>SUM(J88:J100)</f>
        <v>700</v>
      </c>
      <c r="K101" s="19"/>
      <c r="L101" s="61">
        <f>SUM(L88:L100)</f>
        <v>0</v>
      </c>
    </row>
    <row r="102" spans="1:41" s="30" customFormat="1" ht="24.95" customHeight="1">
      <c r="A102" s="451"/>
      <c r="B102" s="452" t="s">
        <v>1</v>
      </c>
      <c r="C102" s="452" t="s">
        <v>2</v>
      </c>
      <c r="D102" s="454" t="s">
        <v>3</v>
      </c>
      <c r="E102" s="456" t="s">
        <v>115</v>
      </c>
      <c r="F102" s="456"/>
      <c r="G102" s="456"/>
      <c r="H102" s="456"/>
      <c r="I102" s="456"/>
      <c r="J102" s="456"/>
      <c r="K102" s="399" t="s">
        <v>4</v>
      </c>
      <c r="L102" s="400" t="s">
        <v>116</v>
      </c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</row>
    <row r="103" spans="1:12" ht="24.95" customHeight="1">
      <c r="A103" s="451"/>
      <c r="B103" s="452"/>
      <c r="C103" s="452"/>
      <c r="D103" s="454"/>
      <c r="E103" s="267" t="s">
        <v>276</v>
      </c>
      <c r="F103" s="267" t="s">
        <v>277</v>
      </c>
      <c r="G103" s="267" t="s">
        <v>383</v>
      </c>
      <c r="H103" s="267" t="s">
        <v>384</v>
      </c>
      <c r="I103" s="267" t="s">
        <v>385</v>
      </c>
      <c r="J103" s="297" t="s">
        <v>8</v>
      </c>
      <c r="K103" s="399"/>
      <c r="L103" s="400"/>
    </row>
    <row r="104" spans="1:12" ht="24.95" customHeight="1">
      <c r="A104" s="26"/>
      <c r="B104" s="457" t="s">
        <v>328</v>
      </c>
      <c r="C104" s="457"/>
      <c r="D104" s="457"/>
      <c r="E104" s="457"/>
      <c r="F104" s="457"/>
      <c r="G104" s="457"/>
      <c r="H104" s="457"/>
      <c r="I104" s="457"/>
      <c r="J104" s="457"/>
      <c r="K104" s="457"/>
      <c r="L104" s="457"/>
    </row>
    <row r="105" spans="1:12" ht="24.95" customHeight="1">
      <c r="A105" s="26"/>
      <c r="B105" s="85" t="s">
        <v>307</v>
      </c>
      <c r="C105" s="85" t="s">
        <v>308</v>
      </c>
      <c r="D105" s="88" t="s">
        <v>309</v>
      </c>
      <c r="E105" s="291">
        <v>0</v>
      </c>
      <c r="F105" s="291">
        <v>0</v>
      </c>
      <c r="G105" s="265">
        <v>0</v>
      </c>
      <c r="H105" s="265">
        <v>29</v>
      </c>
      <c r="I105" s="291">
        <v>0</v>
      </c>
      <c r="J105" s="289">
        <f aca="true" t="shared" si="8" ref="J105:J113">SUM(E105:I105)</f>
        <v>29</v>
      </c>
      <c r="K105" s="60">
        <v>0</v>
      </c>
      <c r="L105" s="64">
        <f>J105*K105</f>
        <v>0</v>
      </c>
    </row>
    <row r="106" spans="1:12" ht="24.95" customHeight="1">
      <c r="A106" s="26"/>
      <c r="B106" s="85" t="s">
        <v>330</v>
      </c>
      <c r="C106" s="85" t="s">
        <v>308</v>
      </c>
      <c r="D106" s="88" t="s">
        <v>309</v>
      </c>
      <c r="E106" s="291">
        <v>30</v>
      </c>
      <c r="F106" s="291">
        <v>0</v>
      </c>
      <c r="G106" s="291">
        <v>0</v>
      </c>
      <c r="H106" s="291">
        <v>0</v>
      </c>
      <c r="I106" s="291">
        <v>0</v>
      </c>
      <c r="J106" s="289">
        <f t="shared" si="8"/>
        <v>30</v>
      </c>
      <c r="K106" s="60">
        <v>0</v>
      </c>
      <c r="L106" s="64">
        <f aca="true" t="shared" si="9" ref="L106:L113">J106*K106</f>
        <v>0</v>
      </c>
    </row>
    <row r="107" spans="1:12" ht="24.95" customHeight="1">
      <c r="A107" s="26"/>
      <c r="B107" s="85" t="s">
        <v>392</v>
      </c>
      <c r="C107" s="85" t="s">
        <v>310</v>
      </c>
      <c r="D107" s="88" t="s">
        <v>331</v>
      </c>
      <c r="E107" s="291">
        <v>0</v>
      </c>
      <c r="F107" s="291">
        <v>0</v>
      </c>
      <c r="G107" s="291">
        <v>0</v>
      </c>
      <c r="H107" s="265">
        <v>527</v>
      </c>
      <c r="I107" s="291">
        <v>0</v>
      </c>
      <c r="J107" s="289">
        <f t="shared" si="8"/>
        <v>527</v>
      </c>
      <c r="K107" s="60">
        <v>0</v>
      </c>
      <c r="L107" s="64">
        <f aca="true" t="shared" si="10" ref="L107">J107*K107</f>
        <v>0</v>
      </c>
    </row>
    <row r="108" spans="1:12" ht="24.95" customHeight="1">
      <c r="A108" s="26"/>
      <c r="B108" s="85" t="s">
        <v>312</v>
      </c>
      <c r="C108" s="85" t="s">
        <v>313</v>
      </c>
      <c r="D108" s="88" t="s">
        <v>309</v>
      </c>
      <c r="E108" s="291">
        <v>46</v>
      </c>
      <c r="F108" s="291">
        <v>0</v>
      </c>
      <c r="G108" s="291">
        <v>0</v>
      </c>
      <c r="H108" s="291">
        <v>0</v>
      </c>
      <c r="I108" s="291">
        <v>0</v>
      </c>
      <c r="J108" s="289">
        <f t="shared" si="8"/>
        <v>46</v>
      </c>
      <c r="K108" s="60">
        <v>0</v>
      </c>
      <c r="L108" s="64">
        <f t="shared" si="9"/>
        <v>0</v>
      </c>
    </row>
    <row r="109" spans="1:12" ht="24.95" customHeight="1">
      <c r="A109" s="26"/>
      <c r="B109" s="85" t="s">
        <v>315</v>
      </c>
      <c r="C109" s="85" t="s">
        <v>316</v>
      </c>
      <c r="D109" s="88" t="s">
        <v>309</v>
      </c>
      <c r="E109" s="291">
        <v>46</v>
      </c>
      <c r="F109" s="291">
        <v>0</v>
      </c>
      <c r="G109" s="291">
        <v>0</v>
      </c>
      <c r="H109" s="265">
        <v>628</v>
      </c>
      <c r="I109" s="291">
        <v>0</v>
      </c>
      <c r="J109" s="289">
        <f t="shared" si="8"/>
        <v>674</v>
      </c>
      <c r="K109" s="60">
        <v>0</v>
      </c>
      <c r="L109" s="64">
        <f t="shared" si="9"/>
        <v>0</v>
      </c>
    </row>
    <row r="110" spans="1:12" ht="24.95" customHeight="1">
      <c r="A110" s="26"/>
      <c r="B110" s="112" t="s">
        <v>393</v>
      </c>
      <c r="C110" s="112" t="s">
        <v>317</v>
      </c>
      <c r="D110" s="88" t="s">
        <v>309</v>
      </c>
      <c r="E110" s="291">
        <v>0</v>
      </c>
      <c r="F110" s="291">
        <v>0</v>
      </c>
      <c r="G110" s="265">
        <v>0</v>
      </c>
      <c r="H110" s="265">
        <v>197</v>
      </c>
      <c r="I110" s="291">
        <v>0</v>
      </c>
      <c r="J110" s="289">
        <f t="shared" si="8"/>
        <v>197</v>
      </c>
      <c r="K110" s="60">
        <v>0</v>
      </c>
      <c r="L110" s="64">
        <f t="shared" si="9"/>
        <v>0</v>
      </c>
    </row>
    <row r="111" spans="1:12" ht="24.95" customHeight="1">
      <c r="A111" s="26"/>
      <c r="B111" s="86" t="s">
        <v>320</v>
      </c>
      <c r="C111" s="86" t="s">
        <v>319</v>
      </c>
      <c r="D111" s="89" t="s">
        <v>311</v>
      </c>
      <c r="E111" s="291">
        <v>49</v>
      </c>
      <c r="F111" s="291">
        <v>0</v>
      </c>
      <c r="G111" s="291">
        <v>0</v>
      </c>
      <c r="H111" s="291">
        <v>0</v>
      </c>
      <c r="I111" s="291">
        <v>0</v>
      </c>
      <c r="J111" s="289">
        <f t="shared" si="8"/>
        <v>49</v>
      </c>
      <c r="K111" s="60">
        <v>0</v>
      </c>
      <c r="L111" s="64">
        <f t="shared" si="9"/>
        <v>0</v>
      </c>
    </row>
    <row r="112" spans="1:12" ht="24.95" customHeight="1">
      <c r="A112" s="26"/>
      <c r="B112" s="85" t="s">
        <v>325</v>
      </c>
      <c r="C112" s="85" t="s">
        <v>324</v>
      </c>
      <c r="D112" s="88" t="s">
        <v>309</v>
      </c>
      <c r="E112" s="291">
        <v>106</v>
      </c>
      <c r="F112" s="291">
        <v>0</v>
      </c>
      <c r="G112" s="291">
        <v>0</v>
      </c>
      <c r="H112" s="291">
        <v>0</v>
      </c>
      <c r="I112" s="291">
        <v>0</v>
      </c>
      <c r="J112" s="289">
        <f t="shared" si="8"/>
        <v>106</v>
      </c>
      <c r="K112" s="60">
        <v>0</v>
      </c>
      <c r="L112" s="64">
        <f t="shared" si="9"/>
        <v>0</v>
      </c>
    </row>
    <row r="113" spans="1:12" ht="24.95" customHeight="1">
      <c r="A113" s="26"/>
      <c r="B113" s="85" t="s">
        <v>382</v>
      </c>
      <c r="C113" s="85" t="s">
        <v>326</v>
      </c>
      <c r="D113" s="88" t="s">
        <v>309</v>
      </c>
      <c r="E113" s="291">
        <v>48</v>
      </c>
      <c r="F113" s="291">
        <v>0</v>
      </c>
      <c r="G113" s="265">
        <v>0</v>
      </c>
      <c r="H113" s="265">
        <v>883</v>
      </c>
      <c r="I113" s="291">
        <v>0</v>
      </c>
      <c r="J113" s="289">
        <f t="shared" si="8"/>
        <v>931</v>
      </c>
      <c r="K113" s="60">
        <v>0</v>
      </c>
      <c r="L113" s="64">
        <f t="shared" si="9"/>
        <v>0</v>
      </c>
    </row>
    <row r="114" spans="1:12" ht="24.95" customHeight="1">
      <c r="A114" s="26"/>
      <c r="B114" s="455" t="s">
        <v>329</v>
      </c>
      <c r="C114" s="455"/>
      <c r="D114" s="19"/>
      <c r="E114" s="295">
        <f>SUM(E105:E113)</f>
        <v>325</v>
      </c>
      <c r="F114" s="295"/>
      <c r="G114" s="295">
        <f>SUM(G105:G113)</f>
        <v>0</v>
      </c>
      <c r="H114" s="295">
        <f>SUM(H105:H113)</f>
        <v>2264</v>
      </c>
      <c r="I114" s="295"/>
      <c r="J114" s="295">
        <f>SUM(J105:J113)</f>
        <v>2589</v>
      </c>
      <c r="K114" s="19"/>
      <c r="L114" s="61">
        <f>SUM(L105:L113)</f>
        <v>0</v>
      </c>
    </row>
    <row r="115" spans="1:12" ht="24.95" customHeight="1">
      <c r="A115" s="26"/>
      <c r="B115" s="457" t="s">
        <v>333</v>
      </c>
      <c r="C115" s="457"/>
      <c r="D115" s="457"/>
      <c r="E115" s="457"/>
      <c r="F115" s="457"/>
      <c r="G115" s="457"/>
      <c r="H115" s="457"/>
      <c r="I115" s="457"/>
      <c r="J115" s="457"/>
      <c r="K115" s="457"/>
      <c r="L115" s="457"/>
    </row>
    <row r="116" spans="1:41" s="1" customFormat="1" ht="24.95" customHeight="1">
      <c r="A116" s="26"/>
      <c r="B116" s="85" t="s">
        <v>336</v>
      </c>
      <c r="C116" s="85" t="s">
        <v>337</v>
      </c>
      <c r="D116" s="79" t="s">
        <v>327</v>
      </c>
      <c r="E116" s="265">
        <v>18</v>
      </c>
      <c r="F116" s="265">
        <v>0</v>
      </c>
      <c r="G116" s="265">
        <v>0</v>
      </c>
      <c r="H116" s="265">
        <v>0</v>
      </c>
      <c r="I116" s="265">
        <v>0</v>
      </c>
      <c r="J116" s="289">
        <f>SUM(E116:I116)</f>
        <v>18</v>
      </c>
      <c r="K116" s="60">
        <v>0</v>
      </c>
      <c r="L116" s="64">
        <f aca="true" t="shared" si="11" ref="L116:L118">J116*K116</f>
        <v>0</v>
      </c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</row>
    <row r="117" spans="1:41" s="1" customFormat="1" ht="24.95" customHeight="1">
      <c r="A117" s="26"/>
      <c r="B117" s="85" t="s">
        <v>342</v>
      </c>
      <c r="C117" s="85" t="s">
        <v>343</v>
      </c>
      <c r="D117" s="79" t="s">
        <v>327</v>
      </c>
      <c r="E117" s="265">
        <v>0</v>
      </c>
      <c r="F117" s="265">
        <v>0</v>
      </c>
      <c r="G117" s="265">
        <v>3</v>
      </c>
      <c r="H117" s="265">
        <v>3</v>
      </c>
      <c r="I117" s="265">
        <v>0</v>
      </c>
      <c r="J117" s="289">
        <f>SUM(E117:I117)</f>
        <v>6</v>
      </c>
      <c r="K117" s="60">
        <v>0</v>
      </c>
      <c r="L117" s="64">
        <f t="shared" si="11"/>
        <v>0</v>
      </c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</row>
    <row r="118" spans="1:41" s="1" customFormat="1" ht="24.95" customHeight="1">
      <c r="A118" s="26"/>
      <c r="B118" s="86" t="s">
        <v>344</v>
      </c>
      <c r="C118" s="86" t="s">
        <v>345</v>
      </c>
      <c r="D118" s="90" t="s">
        <v>304</v>
      </c>
      <c r="E118" s="265">
        <v>1</v>
      </c>
      <c r="F118" s="265">
        <v>0</v>
      </c>
      <c r="G118" s="265">
        <v>0</v>
      </c>
      <c r="H118" s="265">
        <v>0</v>
      </c>
      <c r="I118" s="265">
        <v>0</v>
      </c>
      <c r="J118" s="289">
        <f>SUM(E118:I118)</f>
        <v>1</v>
      </c>
      <c r="K118" s="60">
        <v>0</v>
      </c>
      <c r="L118" s="64">
        <f t="shared" si="11"/>
        <v>0</v>
      </c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</row>
    <row r="119" spans="1:41" s="307" customFormat="1" ht="24.95" customHeight="1">
      <c r="A119" s="291"/>
      <c r="B119" s="302" t="s">
        <v>340</v>
      </c>
      <c r="C119" s="302" t="s">
        <v>341</v>
      </c>
      <c r="D119" s="301" t="s">
        <v>304</v>
      </c>
      <c r="E119" s="265">
        <v>0</v>
      </c>
      <c r="F119" s="265">
        <v>0</v>
      </c>
      <c r="G119" s="265">
        <v>3</v>
      </c>
      <c r="H119" s="265">
        <v>0</v>
      </c>
      <c r="I119" s="265">
        <v>0</v>
      </c>
      <c r="J119" s="265">
        <f>SUM(E119:I119)</f>
        <v>3</v>
      </c>
      <c r="K119" s="60">
        <v>0</v>
      </c>
      <c r="L119" s="280">
        <f>J119*K119</f>
        <v>0</v>
      </c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I119" s="306"/>
      <c r="AJ119" s="306"/>
      <c r="AK119" s="306"/>
      <c r="AL119" s="306"/>
      <c r="AM119" s="306"/>
      <c r="AN119" s="306"/>
      <c r="AO119" s="306"/>
    </row>
    <row r="120" spans="1:12" ht="24.95" customHeight="1">
      <c r="A120" s="26"/>
      <c r="B120" s="455" t="s">
        <v>334</v>
      </c>
      <c r="C120" s="455"/>
      <c r="D120" s="19"/>
      <c r="E120" s="295">
        <f>SUM(E116:E119)</f>
        <v>19</v>
      </c>
      <c r="F120" s="295"/>
      <c r="G120" s="295">
        <f>SUM(G116:G119)</f>
        <v>6</v>
      </c>
      <c r="H120" s="295">
        <f>SUM(H116:H119)</f>
        <v>3</v>
      </c>
      <c r="I120" s="295"/>
      <c r="J120" s="295">
        <f>SUM(J116:J119)</f>
        <v>28</v>
      </c>
      <c r="K120" s="19"/>
      <c r="L120" s="61">
        <f>SUM(L116:L119)</f>
        <v>0</v>
      </c>
    </row>
    <row r="121" spans="1:41" s="30" customFormat="1" ht="24.95" customHeight="1">
      <c r="A121" s="451"/>
      <c r="B121" s="452" t="s">
        <v>1</v>
      </c>
      <c r="C121" s="452" t="s">
        <v>2</v>
      </c>
      <c r="D121" s="454" t="s">
        <v>3</v>
      </c>
      <c r="E121" s="456" t="s">
        <v>115</v>
      </c>
      <c r="F121" s="456"/>
      <c r="G121" s="456"/>
      <c r="H121" s="456"/>
      <c r="I121" s="456"/>
      <c r="J121" s="456"/>
      <c r="K121" s="399" t="s">
        <v>4</v>
      </c>
      <c r="L121" s="400" t="s">
        <v>116</v>
      </c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</row>
    <row r="122" spans="1:12" ht="24.95" customHeight="1">
      <c r="A122" s="451"/>
      <c r="B122" s="452"/>
      <c r="C122" s="452"/>
      <c r="D122" s="454"/>
      <c r="E122" s="267" t="s">
        <v>276</v>
      </c>
      <c r="F122" s="267" t="s">
        <v>277</v>
      </c>
      <c r="G122" s="267" t="s">
        <v>383</v>
      </c>
      <c r="H122" s="267" t="s">
        <v>384</v>
      </c>
      <c r="I122" s="267" t="s">
        <v>385</v>
      </c>
      <c r="J122" s="297" t="s">
        <v>8</v>
      </c>
      <c r="K122" s="399"/>
      <c r="L122" s="400"/>
    </row>
    <row r="123" spans="1:12" ht="24.95" customHeight="1">
      <c r="A123" s="26"/>
      <c r="B123" s="457" t="s">
        <v>346</v>
      </c>
      <c r="C123" s="457"/>
      <c r="D123" s="457"/>
      <c r="E123" s="457"/>
      <c r="F123" s="457"/>
      <c r="G123" s="457"/>
      <c r="H123" s="457"/>
      <c r="I123" s="457"/>
      <c r="J123" s="457"/>
      <c r="K123" s="457"/>
      <c r="L123" s="457"/>
    </row>
    <row r="124" spans="1:41" s="277" customFormat="1" ht="24.95" customHeight="1">
      <c r="A124" s="291"/>
      <c r="B124" s="303" t="s">
        <v>348</v>
      </c>
      <c r="C124" s="303" t="s">
        <v>335</v>
      </c>
      <c r="D124" s="301" t="s">
        <v>309</v>
      </c>
      <c r="E124" s="265">
        <v>39</v>
      </c>
      <c r="F124" s="265">
        <v>0</v>
      </c>
      <c r="G124" s="265">
        <v>0</v>
      </c>
      <c r="H124" s="265">
        <v>0</v>
      </c>
      <c r="I124" s="265">
        <v>0</v>
      </c>
      <c r="J124" s="265">
        <f>SUM(E124:I124)</f>
        <v>39</v>
      </c>
      <c r="K124" s="60">
        <v>0</v>
      </c>
      <c r="L124" s="280">
        <f>J124*K124</f>
        <v>0</v>
      </c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276"/>
      <c r="AK124" s="276"/>
      <c r="AL124" s="276"/>
      <c r="AM124" s="276"/>
      <c r="AN124" s="276"/>
      <c r="AO124" s="276"/>
    </row>
    <row r="125" spans="1:41" s="277" customFormat="1" ht="24.95" customHeight="1">
      <c r="A125" s="291"/>
      <c r="B125" s="305" t="s">
        <v>389</v>
      </c>
      <c r="C125" s="305" t="s">
        <v>390</v>
      </c>
      <c r="D125" s="301" t="s">
        <v>327</v>
      </c>
      <c r="E125" s="265">
        <v>0</v>
      </c>
      <c r="F125" s="265">
        <v>0</v>
      </c>
      <c r="G125" s="265">
        <v>0</v>
      </c>
      <c r="H125" s="265">
        <v>25</v>
      </c>
      <c r="I125" s="265">
        <v>0</v>
      </c>
      <c r="J125" s="265">
        <f>SUM(E125:I125)</f>
        <v>25</v>
      </c>
      <c r="K125" s="60">
        <v>0</v>
      </c>
      <c r="L125" s="280">
        <f aca="true" t="shared" si="12" ref="L125:L127">J125*K125</f>
        <v>0</v>
      </c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</row>
    <row r="126" spans="1:41" s="277" customFormat="1" ht="24.95" customHeight="1">
      <c r="A126" s="291"/>
      <c r="B126" s="303" t="s">
        <v>338</v>
      </c>
      <c r="C126" s="303" t="s">
        <v>339</v>
      </c>
      <c r="D126" s="301" t="s">
        <v>327</v>
      </c>
      <c r="E126" s="299">
        <v>0</v>
      </c>
      <c r="F126" s="265">
        <v>0</v>
      </c>
      <c r="G126" s="265">
        <v>0</v>
      </c>
      <c r="H126" s="265">
        <v>20</v>
      </c>
      <c r="I126" s="265">
        <v>0</v>
      </c>
      <c r="J126" s="265">
        <f>SUM(E126:I126)</f>
        <v>20</v>
      </c>
      <c r="K126" s="60">
        <v>0</v>
      </c>
      <c r="L126" s="280">
        <f t="shared" si="12"/>
        <v>0</v>
      </c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</row>
    <row r="127" spans="1:41" s="277" customFormat="1" ht="24.95" customHeight="1">
      <c r="A127" s="291"/>
      <c r="B127" s="305" t="s">
        <v>342</v>
      </c>
      <c r="C127" s="305" t="s">
        <v>343</v>
      </c>
      <c r="D127" s="301" t="s">
        <v>327</v>
      </c>
      <c r="E127" s="299">
        <v>0</v>
      </c>
      <c r="F127" s="265">
        <v>0</v>
      </c>
      <c r="G127" s="265">
        <v>0</v>
      </c>
      <c r="H127" s="265">
        <v>0</v>
      </c>
      <c r="I127" s="265">
        <v>0</v>
      </c>
      <c r="J127" s="265">
        <f>SUM(E127:I127)</f>
        <v>0</v>
      </c>
      <c r="K127" s="60">
        <v>0</v>
      </c>
      <c r="L127" s="280">
        <f t="shared" si="12"/>
        <v>0</v>
      </c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</row>
    <row r="128" spans="1:41" s="277" customFormat="1" ht="24.95" customHeight="1">
      <c r="A128" s="291"/>
      <c r="B128" s="493" t="s">
        <v>347</v>
      </c>
      <c r="C128" s="493"/>
      <c r="D128" s="308"/>
      <c r="E128" s="295">
        <f>SUM(E124:E127)</f>
        <v>39</v>
      </c>
      <c r="F128" s="295"/>
      <c r="G128" s="295"/>
      <c r="H128" s="295">
        <f>SUM(H124:H127)</f>
        <v>45</v>
      </c>
      <c r="I128" s="295"/>
      <c r="J128" s="295">
        <f>SUM(J124:J127)</f>
        <v>84</v>
      </c>
      <c r="K128" s="308"/>
      <c r="L128" s="309">
        <f>SUM(L124:L127)</f>
        <v>0</v>
      </c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I128" s="276"/>
      <c r="AJ128" s="276"/>
      <c r="AK128" s="276"/>
      <c r="AL128" s="276"/>
      <c r="AM128" s="276"/>
      <c r="AN128" s="276"/>
      <c r="AO128" s="276"/>
    </row>
    <row r="129" spans="1:12" ht="24.95" customHeight="1">
      <c r="A129" s="26"/>
      <c r="B129" s="457" t="s">
        <v>248</v>
      </c>
      <c r="C129" s="457"/>
      <c r="D129" s="457"/>
      <c r="E129" s="457"/>
      <c r="F129" s="457"/>
      <c r="G129" s="457"/>
      <c r="H129" s="457"/>
      <c r="I129" s="457"/>
      <c r="J129" s="457"/>
      <c r="K129" s="457"/>
      <c r="L129" s="457"/>
    </row>
    <row r="130" spans="1:12" ht="24.95" customHeight="1">
      <c r="A130" s="26"/>
      <c r="B130" s="300" t="s">
        <v>394</v>
      </c>
      <c r="C130" s="300" t="s">
        <v>395</v>
      </c>
      <c r="D130" s="88" t="s">
        <v>314</v>
      </c>
      <c r="E130" s="291">
        <v>0</v>
      </c>
      <c r="F130" s="291">
        <v>0</v>
      </c>
      <c r="G130" s="291">
        <v>0</v>
      </c>
      <c r="H130" s="310">
        <v>32</v>
      </c>
      <c r="I130" s="291">
        <v>0</v>
      </c>
      <c r="J130" s="289">
        <f>SUM(E130:I130)</f>
        <v>32</v>
      </c>
      <c r="K130" s="60">
        <v>0</v>
      </c>
      <c r="L130" s="64">
        <f aca="true" t="shared" si="13" ref="L130:L135">J130*K130</f>
        <v>0</v>
      </c>
    </row>
    <row r="131" spans="1:12" ht="24.95" customHeight="1">
      <c r="A131" s="26"/>
      <c r="B131" s="300" t="s">
        <v>396</v>
      </c>
      <c r="C131" s="300" t="s">
        <v>349</v>
      </c>
      <c r="D131" s="88" t="s">
        <v>314</v>
      </c>
      <c r="E131" s="291">
        <v>0</v>
      </c>
      <c r="F131" s="291">
        <v>0</v>
      </c>
      <c r="G131" s="291">
        <v>0</v>
      </c>
      <c r="H131" s="310">
        <v>30</v>
      </c>
      <c r="I131" s="291">
        <v>0</v>
      </c>
      <c r="J131" s="289">
        <f aca="true" t="shared" si="14" ref="J131:J135">SUM(E131:I131)</f>
        <v>30</v>
      </c>
      <c r="K131" s="60">
        <v>0</v>
      </c>
      <c r="L131" s="64">
        <f t="shared" si="13"/>
        <v>0</v>
      </c>
    </row>
    <row r="132" spans="1:12" ht="24.95" customHeight="1">
      <c r="A132" s="26"/>
      <c r="B132" s="300" t="s">
        <v>397</v>
      </c>
      <c r="C132" s="300" t="s">
        <v>398</v>
      </c>
      <c r="D132" s="88" t="s">
        <v>314</v>
      </c>
      <c r="E132" s="291">
        <v>0</v>
      </c>
      <c r="F132" s="291">
        <v>0</v>
      </c>
      <c r="G132" s="291">
        <v>0</v>
      </c>
      <c r="H132" s="310">
        <v>26</v>
      </c>
      <c r="I132" s="291">
        <v>0</v>
      </c>
      <c r="J132" s="289">
        <f t="shared" si="14"/>
        <v>26</v>
      </c>
      <c r="K132" s="60">
        <v>0</v>
      </c>
      <c r="L132" s="64">
        <f t="shared" si="13"/>
        <v>0</v>
      </c>
    </row>
    <row r="133" spans="1:12" ht="24.95" customHeight="1">
      <c r="A133" s="26"/>
      <c r="B133" s="300" t="s">
        <v>399</v>
      </c>
      <c r="C133" s="300" t="s">
        <v>6</v>
      </c>
      <c r="D133" s="88" t="s">
        <v>314</v>
      </c>
      <c r="E133" s="291">
        <v>0</v>
      </c>
      <c r="F133" s="291">
        <v>0</v>
      </c>
      <c r="G133" s="291">
        <v>0</v>
      </c>
      <c r="H133" s="310">
        <v>194</v>
      </c>
      <c r="I133" s="291">
        <v>0</v>
      </c>
      <c r="J133" s="289">
        <f t="shared" si="14"/>
        <v>194</v>
      </c>
      <c r="K133" s="60">
        <v>0</v>
      </c>
      <c r="L133" s="64">
        <f t="shared" si="13"/>
        <v>0</v>
      </c>
    </row>
    <row r="134" spans="1:12" ht="24.95" customHeight="1">
      <c r="A134" s="26"/>
      <c r="B134" s="300" t="s">
        <v>400</v>
      </c>
      <c r="C134" s="300" t="s">
        <v>401</v>
      </c>
      <c r="D134" s="88" t="s">
        <v>314</v>
      </c>
      <c r="E134" s="291">
        <v>0</v>
      </c>
      <c r="F134" s="291">
        <v>0</v>
      </c>
      <c r="G134" s="291">
        <v>0</v>
      </c>
      <c r="H134" s="310">
        <v>37</v>
      </c>
      <c r="I134" s="291">
        <v>0</v>
      </c>
      <c r="J134" s="289">
        <f t="shared" si="14"/>
        <v>37</v>
      </c>
      <c r="K134" s="60">
        <v>0</v>
      </c>
      <c r="L134" s="64">
        <f t="shared" si="13"/>
        <v>0</v>
      </c>
    </row>
    <row r="135" spans="1:12" ht="24.95" customHeight="1">
      <c r="A135" s="26"/>
      <c r="B135" s="300" t="s">
        <v>402</v>
      </c>
      <c r="C135" s="300" t="s">
        <v>403</v>
      </c>
      <c r="D135" s="88" t="s">
        <v>314</v>
      </c>
      <c r="E135" s="291">
        <v>0</v>
      </c>
      <c r="F135" s="291">
        <v>0</v>
      </c>
      <c r="G135" s="291">
        <v>0</v>
      </c>
      <c r="H135" s="310">
        <v>32</v>
      </c>
      <c r="I135" s="291">
        <v>0</v>
      </c>
      <c r="J135" s="289">
        <f t="shared" si="14"/>
        <v>32</v>
      </c>
      <c r="K135" s="60">
        <v>0</v>
      </c>
      <c r="L135" s="64">
        <f t="shared" si="13"/>
        <v>0</v>
      </c>
    </row>
    <row r="136" spans="1:12" ht="24.95" customHeight="1">
      <c r="A136" s="26"/>
      <c r="B136" s="455" t="s">
        <v>249</v>
      </c>
      <c r="C136" s="455"/>
      <c r="D136" s="19"/>
      <c r="E136" s="308"/>
      <c r="F136" s="308"/>
      <c r="G136" s="308"/>
      <c r="H136" s="295">
        <f>SUM(H130:H135)</f>
        <v>351</v>
      </c>
      <c r="I136" s="308"/>
      <c r="J136" s="295">
        <f>SUM(J130:J135)</f>
        <v>351</v>
      </c>
      <c r="K136" s="19"/>
      <c r="L136" s="61">
        <f>SUM(L130:L135)</f>
        <v>0</v>
      </c>
    </row>
    <row r="137" spans="1:12" ht="24.95" customHeight="1">
      <c r="A137" s="26"/>
      <c r="B137" s="458" t="s">
        <v>268</v>
      </c>
      <c r="C137" s="458"/>
      <c r="D137" s="72" t="s">
        <v>269</v>
      </c>
      <c r="E137" s="235"/>
      <c r="F137" s="235"/>
      <c r="G137" s="235"/>
      <c r="H137" s="235"/>
      <c r="I137" s="235"/>
      <c r="J137" s="235"/>
      <c r="K137" s="19"/>
      <c r="L137" s="61">
        <f>(L136+L128+L120+L114+L101+L84+L75)*0.1</f>
        <v>0</v>
      </c>
    </row>
    <row r="138" spans="1:41" s="44" customFormat="1" ht="35.1" customHeight="1">
      <c r="A138" s="45"/>
      <c r="B138" s="453" t="s">
        <v>5</v>
      </c>
      <c r="C138" s="453" t="s">
        <v>6</v>
      </c>
      <c r="D138" s="453"/>
      <c r="E138" s="453"/>
      <c r="F138" s="453"/>
      <c r="G138" s="453"/>
      <c r="H138" s="453"/>
      <c r="I138" s="453"/>
      <c r="J138" s="453"/>
      <c r="K138" s="453"/>
      <c r="L138" s="116">
        <f>SUM(L137,L136,L128,L120,L114,L101,L84,L75)</f>
        <v>0</v>
      </c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</row>
    <row r="139" spans="1:41" s="251" customFormat="1" ht="35.1" customHeight="1">
      <c r="A139" s="249"/>
      <c r="B139" s="466" t="s">
        <v>483</v>
      </c>
      <c r="C139" s="466"/>
      <c r="D139" s="466"/>
      <c r="E139" s="466"/>
      <c r="F139" s="466"/>
      <c r="G139" s="466"/>
      <c r="H139" s="466"/>
      <c r="I139" s="466"/>
      <c r="J139" s="466"/>
      <c r="K139" s="466"/>
      <c r="L139" s="466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0"/>
      <c r="AI139" s="250"/>
      <c r="AJ139" s="250"/>
      <c r="AK139" s="250"/>
      <c r="AL139" s="250"/>
      <c r="AM139" s="250"/>
      <c r="AN139" s="250"/>
      <c r="AO139" s="250"/>
    </row>
    <row r="140" spans="1:41" s="31" customFormat="1" ht="24.95" customHeight="1">
      <c r="A140" s="396"/>
      <c r="B140" s="397" t="s">
        <v>7</v>
      </c>
      <c r="C140" s="397"/>
      <c r="D140" s="397" t="s">
        <v>221</v>
      </c>
      <c r="E140" s="398" t="s">
        <v>115</v>
      </c>
      <c r="F140" s="398"/>
      <c r="G140" s="398"/>
      <c r="H140" s="398"/>
      <c r="I140" s="398"/>
      <c r="J140" s="398"/>
      <c r="K140" s="399" t="s">
        <v>4</v>
      </c>
      <c r="L140" s="400" t="s">
        <v>116</v>
      </c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</row>
    <row r="141" spans="1:41" s="6" customFormat="1" ht="24.95" customHeight="1">
      <c r="A141" s="396"/>
      <c r="B141" s="397"/>
      <c r="C141" s="397"/>
      <c r="D141" s="397"/>
      <c r="E141" s="267" t="s">
        <v>276</v>
      </c>
      <c r="F141" s="267" t="s">
        <v>277</v>
      </c>
      <c r="G141" s="267" t="s">
        <v>383</v>
      </c>
      <c r="H141" s="267" t="s">
        <v>384</v>
      </c>
      <c r="I141" s="267" t="s">
        <v>385</v>
      </c>
      <c r="J141" s="270" t="s">
        <v>8</v>
      </c>
      <c r="K141" s="399"/>
      <c r="L141" s="400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</row>
    <row r="142" spans="1:41" s="254" customFormat="1" ht="24.95" customHeight="1">
      <c r="A142" s="252"/>
      <c r="B142" s="470" t="s">
        <v>119</v>
      </c>
      <c r="C142" s="470"/>
      <c r="D142" s="470"/>
      <c r="E142" s="470"/>
      <c r="F142" s="470"/>
      <c r="G142" s="470"/>
      <c r="H142" s="470"/>
      <c r="I142" s="470"/>
      <c r="J142" s="470"/>
      <c r="K142" s="470"/>
      <c r="L142" s="470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</row>
    <row r="143" spans="1:41" s="6" customFormat="1" ht="24.95" customHeight="1">
      <c r="A143" s="11"/>
      <c r="B143" s="403" t="s">
        <v>223</v>
      </c>
      <c r="C143" s="404"/>
      <c r="D143" s="404"/>
      <c r="E143" s="404"/>
      <c r="F143" s="404"/>
      <c r="G143" s="404"/>
      <c r="H143" s="404"/>
      <c r="I143" s="404"/>
      <c r="J143" s="404"/>
      <c r="K143" s="404"/>
      <c r="L143" s="404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</row>
    <row r="144" spans="1:41" s="6" customFormat="1" ht="24.95" customHeight="1">
      <c r="A144" s="33" t="s">
        <v>117</v>
      </c>
      <c r="B144" s="448" t="s">
        <v>118</v>
      </c>
      <c r="C144" s="407"/>
      <c r="D144" s="11" t="s">
        <v>9</v>
      </c>
      <c r="E144" s="265">
        <v>1</v>
      </c>
      <c r="F144" s="265">
        <v>11</v>
      </c>
      <c r="G144" s="265">
        <v>1</v>
      </c>
      <c r="H144" s="265">
        <v>1</v>
      </c>
      <c r="I144" s="265">
        <v>15</v>
      </c>
      <c r="J144" s="289">
        <f>SUM(E144:I144)</f>
        <v>29</v>
      </c>
      <c r="K144" s="60">
        <v>0</v>
      </c>
      <c r="L144" s="62">
        <f>J144*K144</f>
        <v>0</v>
      </c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</row>
    <row r="145" spans="1:41" s="6" customFormat="1" ht="24.95" customHeight="1">
      <c r="A145" s="11" t="s">
        <v>39</v>
      </c>
      <c r="B145" s="448" t="s">
        <v>209</v>
      </c>
      <c r="C145" s="407"/>
      <c r="D145" s="11" t="s">
        <v>9</v>
      </c>
      <c r="E145" s="265">
        <v>1</v>
      </c>
      <c r="F145" s="265">
        <v>11</v>
      </c>
      <c r="G145" s="265">
        <v>1</v>
      </c>
      <c r="H145" s="265">
        <v>1</v>
      </c>
      <c r="I145" s="265">
        <v>15</v>
      </c>
      <c r="J145" s="289">
        <f>SUM(E145:I145)</f>
        <v>29</v>
      </c>
      <c r="K145" s="60">
        <v>0</v>
      </c>
      <c r="L145" s="62">
        <f>J145*K145</f>
        <v>0</v>
      </c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</row>
    <row r="146" spans="1:41" s="6" customFormat="1" ht="24.95" customHeight="1">
      <c r="A146" s="15" t="s">
        <v>28</v>
      </c>
      <c r="B146" s="459" t="s">
        <v>216</v>
      </c>
      <c r="C146" s="459"/>
      <c r="D146" s="15" t="s">
        <v>15</v>
      </c>
      <c r="E146" s="266">
        <f aca="true" t="shared" si="15" ref="E146:G146">E145*0.009</f>
        <v>0.009</v>
      </c>
      <c r="F146" s="266">
        <f t="shared" si="15"/>
        <v>0.09899999999999999</v>
      </c>
      <c r="G146" s="266">
        <f t="shared" si="15"/>
        <v>0.009</v>
      </c>
      <c r="H146" s="266">
        <f aca="true" t="shared" si="16" ref="H146:I146">H145*0.009</f>
        <v>0.009</v>
      </c>
      <c r="I146" s="266">
        <f t="shared" si="16"/>
        <v>0.13499999999999998</v>
      </c>
      <c r="J146" s="289">
        <f>SUM(E146:I146)</f>
        <v>0.26099999999999995</v>
      </c>
      <c r="K146" s="60">
        <v>0</v>
      </c>
      <c r="L146" s="62">
        <f>J146*K146</f>
        <v>0</v>
      </c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</row>
    <row r="147" spans="1:41" s="6" customFormat="1" ht="24.95" customHeight="1">
      <c r="A147" s="11"/>
      <c r="B147" s="455" t="s">
        <v>233</v>
      </c>
      <c r="C147" s="455"/>
      <c r="D147" s="9"/>
      <c r="E147" s="236"/>
      <c r="F147" s="236"/>
      <c r="G147" s="236"/>
      <c r="H147" s="236"/>
      <c r="I147" s="236"/>
      <c r="J147" s="236"/>
      <c r="K147" s="52"/>
      <c r="L147" s="61">
        <f>SUM(L144:L146)</f>
        <v>0</v>
      </c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</row>
    <row r="148" spans="1:41" s="6" customFormat="1" ht="24.95" customHeight="1">
      <c r="A148" s="11"/>
      <c r="B148" s="403" t="s">
        <v>224</v>
      </c>
      <c r="C148" s="404"/>
      <c r="D148" s="404"/>
      <c r="E148" s="404"/>
      <c r="F148" s="404"/>
      <c r="G148" s="404"/>
      <c r="H148" s="404"/>
      <c r="I148" s="404"/>
      <c r="J148" s="404"/>
      <c r="K148" s="404"/>
      <c r="L148" s="404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</row>
    <row r="149" spans="1:41" s="6" customFormat="1" ht="24.95" customHeight="1">
      <c r="A149" s="33" t="s">
        <v>124</v>
      </c>
      <c r="B149" s="403" t="s">
        <v>120</v>
      </c>
      <c r="C149" s="404"/>
      <c r="D149" s="11" t="s">
        <v>9</v>
      </c>
      <c r="E149" s="265">
        <v>4</v>
      </c>
      <c r="F149" s="265">
        <v>2</v>
      </c>
      <c r="G149" s="265">
        <v>0</v>
      </c>
      <c r="H149" s="265">
        <v>0</v>
      </c>
      <c r="I149" s="265">
        <v>0</v>
      </c>
      <c r="J149" s="289">
        <f>SUM(E149:I149)</f>
        <v>6</v>
      </c>
      <c r="K149" s="60">
        <v>0</v>
      </c>
      <c r="L149" s="62">
        <f>J149*K149</f>
        <v>0</v>
      </c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</row>
    <row r="150" spans="1:41" s="6" customFormat="1" ht="24.95" customHeight="1">
      <c r="A150" s="11" t="s">
        <v>42</v>
      </c>
      <c r="B150" s="448" t="s">
        <v>210</v>
      </c>
      <c r="C150" s="407"/>
      <c r="D150" s="11" t="s">
        <v>9</v>
      </c>
      <c r="E150" s="265">
        <v>4</v>
      </c>
      <c r="F150" s="265">
        <v>2</v>
      </c>
      <c r="G150" s="265">
        <v>0</v>
      </c>
      <c r="H150" s="265">
        <v>0</v>
      </c>
      <c r="I150" s="265">
        <v>0</v>
      </c>
      <c r="J150" s="289">
        <f>SUM(E150:I150)</f>
        <v>6</v>
      </c>
      <c r="K150" s="60">
        <v>0</v>
      </c>
      <c r="L150" s="62">
        <f>J150*K150</f>
        <v>0</v>
      </c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</row>
    <row r="151" spans="1:41" s="6" customFormat="1" ht="24.95" customHeight="1">
      <c r="A151" s="15" t="s">
        <v>28</v>
      </c>
      <c r="B151" s="459" t="s">
        <v>216</v>
      </c>
      <c r="C151" s="459"/>
      <c r="D151" s="15" t="s">
        <v>15</v>
      </c>
      <c r="E151" s="266">
        <f aca="true" t="shared" si="17" ref="E151:F151">E150*0.014</f>
        <v>0.056</v>
      </c>
      <c r="F151" s="266">
        <f t="shared" si="17"/>
        <v>0.028</v>
      </c>
      <c r="G151" s="266">
        <f aca="true" t="shared" si="18" ref="G151:I151">G150*0.014</f>
        <v>0</v>
      </c>
      <c r="H151" s="266">
        <f t="shared" si="18"/>
        <v>0</v>
      </c>
      <c r="I151" s="266">
        <f t="shared" si="18"/>
        <v>0</v>
      </c>
      <c r="J151" s="289">
        <f>SUM(E151:I151)</f>
        <v>0.084</v>
      </c>
      <c r="K151" s="60">
        <v>0</v>
      </c>
      <c r="L151" s="62">
        <f>J151*K151</f>
        <v>0</v>
      </c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</row>
    <row r="152" spans="1:41" s="6" customFormat="1" ht="24.95" customHeight="1">
      <c r="A152" s="11"/>
      <c r="B152" s="455" t="s">
        <v>234</v>
      </c>
      <c r="C152" s="455"/>
      <c r="D152" s="9"/>
      <c r="E152" s="236"/>
      <c r="F152" s="236"/>
      <c r="G152" s="236"/>
      <c r="H152" s="268"/>
      <c r="I152" s="236"/>
      <c r="J152" s="236"/>
      <c r="K152" s="52"/>
      <c r="L152" s="61">
        <f>SUM(L149:L151)</f>
        <v>0</v>
      </c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</row>
    <row r="153" spans="1:41" s="6" customFormat="1" ht="24.95" customHeight="1">
      <c r="A153" s="11"/>
      <c r="B153" s="403" t="s">
        <v>225</v>
      </c>
      <c r="C153" s="404"/>
      <c r="D153" s="404"/>
      <c r="E153" s="404"/>
      <c r="F153" s="404"/>
      <c r="G153" s="404"/>
      <c r="H153" s="404"/>
      <c r="I153" s="404"/>
      <c r="J153" s="404"/>
      <c r="K153" s="404"/>
      <c r="L153" s="404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</row>
    <row r="154" spans="1:41" s="6" customFormat="1" ht="24.95" customHeight="1">
      <c r="A154" s="33" t="s">
        <v>125</v>
      </c>
      <c r="B154" s="403" t="s">
        <v>121</v>
      </c>
      <c r="C154" s="404"/>
      <c r="D154" s="11" t="s">
        <v>9</v>
      </c>
      <c r="E154" s="265">
        <v>0</v>
      </c>
      <c r="F154" s="265">
        <v>0</v>
      </c>
      <c r="G154" s="265">
        <v>0</v>
      </c>
      <c r="H154" s="265">
        <v>0</v>
      </c>
      <c r="I154" s="265">
        <v>0</v>
      </c>
      <c r="J154" s="289">
        <f>SUM(E154:I154)</f>
        <v>0</v>
      </c>
      <c r="K154" s="60">
        <v>0</v>
      </c>
      <c r="L154" s="62">
        <f>J154*K154</f>
        <v>0</v>
      </c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</row>
    <row r="155" spans="1:41" s="6" customFormat="1" ht="24.95" customHeight="1">
      <c r="A155" s="11" t="s">
        <v>45</v>
      </c>
      <c r="B155" s="448" t="s">
        <v>211</v>
      </c>
      <c r="C155" s="407"/>
      <c r="D155" s="11" t="s">
        <v>9</v>
      </c>
      <c r="E155" s="265">
        <v>1</v>
      </c>
      <c r="F155" s="265">
        <v>0</v>
      </c>
      <c r="G155" s="265">
        <v>0</v>
      </c>
      <c r="H155" s="265">
        <v>0</v>
      </c>
      <c r="I155" s="265">
        <v>0</v>
      </c>
      <c r="J155" s="289">
        <f>SUM(E155:I155)</f>
        <v>1</v>
      </c>
      <c r="K155" s="60">
        <v>0</v>
      </c>
      <c r="L155" s="62">
        <f>J155*K155</f>
        <v>0</v>
      </c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</row>
    <row r="156" spans="1:41" s="6" customFormat="1" ht="24.95" customHeight="1">
      <c r="A156" s="15" t="s">
        <v>28</v>
      </c>
      <c r="B156" s="459" t="s">
        <v>216</v>
      </c>
      <c r="C156" s="459"/>
      <c r="D156" s="15" t="s">
        <v>15</v>
      </c>
      <c r="E156" s="266">
        <f aca="true" t="shared" si="19" ref="E156:F156">E155*0.025</f>
        <v>0.025</v>
      </c>
      <c r="F156" s="266">
        <f t="shared" si="19"/>
        <v>0</v>
      </c>
      <c r="G156" s="266">
        <f aca="true" t="shared" si="20" ref="G156:I156">G155*0.014</f>
        <v>0</v>
      </c>
      <c r="H156" s="266">
        <f t="shared" si="20"/>
        <v>0</v>
      </c>
      <c r="I156" s="266">
        <f t="shared" si="20"/>
        <v>0</v>
      </c>
      <c r="J156" s="289">
        <f>SUM(E156:I156)</f>
        <v>0.025</v>
      </c>
      <c r="K156" s="60">
        <v>0</v>
      </c>
      <c r="L156" s="62">
        <f>J156*K156</f>
        <v>0</v>
      </c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</row>
    <row r="157" spans="1:41" s="6" customFormat="1" ht="24.95" customHeight="1">
      <c r="A157" s="11"/>
      <c r="B157" s="455" t="s">
        <v>235</v>
      </c>
      <c r="C157" s="455"/>
      <c r="D157" s="9"/>
      <c r="E157" s="236"/>
      <c r="F157" s="236"/>
      <c r="G157" s="236"/>
      <c r="H157" s="236"/>
      <c r="I157" s="236"/>
      <c r="J157" s="236"/>
      <c r="K157" s="53"/>
      <c r="L157" s="61">
        <f>SUM(L154:L156)</f>
        <v>0</v>
      </c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</row>
    <row r="158" spans="1:41" s="6" customFormat="1" ht="24.95" customHeight="1">
      <c r="A158" s="11"/>
      <c r="B158" s="403" t="s">
        <v>498</v>
      </c>
      <c r="C158" s="404"/>
      <c r="D158" s="404"/>
      <c r="E158" s="404"/>
      <c r="F158" s="404"/>
      <c r="G158" s="404"/>
      <c r="H158" s="404"/>
      <c r="I158" s="404"/>
      <c r="J158" s="404"/>
      <c r="K158" s="404"/>
      <c r="L158" s="404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</row>
    <row r="159" spans="1:41" s="6" customFormat="1" ht="24.95" customHeight="1">
      <c r="A159" s="11" t="s">
        <v>62</v>
      </c>
      <c r="B159" s="448" t="s">
        <v>212</v>
      </c>
      <c r="C159" s="407"/>
      <c r="D159" s="11" t="s">
        <v>9</v>
      </c>
      <c r="E159" s="265">
        <v>1</v>
      </c>
      <c r="F159" s="265">
        <v>0</v>
      </c>
      <c r="G159" s="265">
        <v>0</v>
      </c>
      <c r="H159" s="265">
        <v>0</v>
      </c>
      <c r="I159" s="265">
        <v>0</v>
      </c>
      <c r="J159" s="289">
        <f>SUM(E159:I159)</f>
        <v>1</v>
      </c>
      <c r="K159" s="60">
        <v>0</v>
      </c>
      <c r="L159" s="62">
        <f>J159*K159</f>
        <v>0</v>
      </c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</row>
    <row r="160" spans="1:41" s="6" customFormat="1" ht="24.95" customHeight="1">
      <c r="A160" s="15" t="s">
        <v>28</v>
      </c>
      <c r="B160" s="459" t="s">
        <v>216</v>
      </c>
      <c r="C160" s="459"/>
      <c r="D160" s="15" t="s">
        <v>15</v>
      </c>
      <c r="E160" s="266">
        <f aca="true" t="shared" si="21" ref="E160:F160">E159*0.04</f>
        <v>0.04</v>
      </c>
      <c r="F160" s="266">
        <f t="shared" si="21"/>
        <v>0</v>
      </c>
      <c r="G160" s="266">
        <f aca="true" t="shared" si="22" ref="G160:I160">G159*0.014</f>
        <v>0</v>
      </c>
      <c r="H160" s="266">
        <f t="shared" si="22"/>
        <v>0</v>
      </c>
      <c r="I160" s="266">
        <f t="shared" si="22"/>
        <v>0</v>
      </c>
      <c r="J160" s="289">
        <f>SUM(E160:I160)</f>
        <v>0.04</v>
      </c>
      <c r="K160" s="60">
        <v>0</v>
      </c>
      <c r="L160" s="62">
        <f>J160*K160</f>
        <v>0</v>
      </c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</row>
    <row r="161" spans="1:41" s="6" customFormat="1" ht="24.95" customHeight="1">
      <c r="A161" s="11"/>
      <c r="B161" s="455" t="s">
        <v>499</v>
      </c>
      <c r="C161" s="455"/>
      <c r="D161" s="9"/>
      <c r="E161" s="236"/>
      <c r="F161" s="236"/>
      <c r="G161" s="268"/>
      <c r="H161" s="236"/>
      <c r="I161" s="236"/>
      <c r="J161" s="236"/>
      <c r="K161" s="53"/>
      <c r="L161" s="61">
        <f>SUM(L159:L160)</f>
        <v>0</v>
      </c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</row>
    <row r="162" spans="1:41" s="6" customFormat="1" ht="24.95" customHeight="1">
      <c r="A162" s="27"/>
      <c r="B162" s="393" t="s">
        <v>228</v>
      </c>
      <c r="C162" s="394"/>
      <c r="D162" s="394"/>
      <c r="E162" s="394"/>
      <c r="F162" s="394"/>
      <c r="G162" s="394"/>
      <c r="H162" s="394"/>
      <c r="I162" s="394"/>
      <c r="J162" s="394"/>
      <c r="K162" s="394"/>
      <c r="L162" s="394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</row>
    <row r="163" spans="1:41" s="6" customFormat="1" ht="24.95" customHeight="1">
      <c r="A163" s="33" t="s">
        <v>126</v>
      </c>
      <c r="B163" s="403" t="s">
        <v>122</v>
      </c>
      <c r="C163" s="404"/>
      <c r="D163" s="11" t="s">
        <v>9</v>
      </c>
      <c r="E163" s="265">
        <v>1</v>
      </c>
      <c r="F163" s="265">
        <v>0</v>
      </c>
      <c r="G163" s="265">
        <v>0</v>
      </c>
      <c r="H163" s="265">
        <v>0</v>
      </c>
      <c r="I163" s="265">
        <v>0</v>
      </c>
      <c r="J163" s="289">
        <f>SUM(E163:I163)</f>
        <v>1</v>
      </c>
      <c r="K163" s="60">
        <v>0</v>
      </c>
      <c r="L163" s="62">
        <f>J163*K163</f>
        <v>0</v>
      </c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</row>
    <row r="164" spans="1:41" s="6" customFormat="1" ht="24.95" customHeight="1">
      <c r="A164" s="27" t="s">
        <v>79</v>
      </c>
      <c r="B164" s="448" t="s">
        <v>213</v>
      </c>
      <c r="C164" s="407"/>
      <c r="D164" s="11" t="s">
        <v>9</v>
      </c>
      <c r="E164" s="265">
        <v>1</v>
      </c>
      <c r="F164" s="265">
        <v>0</v>
      </c>
      <c r="G164" s="265">
        <v>0</v>
      </c>
      <c r="H164" s="265">
        <v>0</v>
      </c>
      <c r="I164" s="265">
        <v>0</v>
      </c>
      <c r="J164" s="289">
        <f>SUM(E164:I164)</f>
        <v>1</v>
      </c>
      <c r="K164" s="60">
        <v>0</v>
      </c>
      <c r="L164" s="62">
        <f>J164*K164</f>
        <v>0</v>
      </c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</row>
    <row r="165" spans="1:41" s="6" customFormat="1" ht="24.95" customHeight="1">
      <c r="A165" s="15" t="s">
        <v>28</v>
      </c>
      <c r="B165" s="459" t="s">
        <v>216</v>
      </c>
      <c r="C165" s="459"/>
      <c r="D165" s="15" t="s">
        <v>15</v>
      </c>
      <c r="E165" s="266">
        <f aca="true" t="shared" si="23" ref="E165:F165">E164*0.077</f>
        <v>0.077</v>
      </c>
      <c r="F165" s="266">
        <f t="shared" si="23"/>
        <v>0</v>
      </c>
      <c r="G165" s="266">
        <f aca="true" t="shared" si="24" ref="G165:I165">G164*0.014</f>
        <v>0</v>
      </c>
      <c r="H165" s="266">
        <f t="shared" si="24"/>
        <v>0</v>
      </c>
      <c r="I165" s="266">
        <f t="shared" si="24"/>
        <v>0</v>
      </c>
      <c r="J165" s="289">
        <f>SUM(E165:I165)</f>
        <v>0.077</v>
      </c>
      <c r="K165" s="60">
        <v>0</v>
      </c>
      <c r="L165" s="62">
        <f>J165*K165</f>
        <v>0</v>
      </c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</row>
    <row r="166" spans="1:41" s="6" customFormat="1" ht="24.95" customHeight="1">
      <c r="A166" s="27"/>
      <c r="B166" s="107" t="s">
        <v>237</v>
      </c>
      <c r="C166" s="107"/>
      <c r="D166" s="9"/>
      <c r="E166" s="236"/>
      <c r="F166" s="236"/>
      <c r="G166" s="236"/>
      <c r="H166" s="236"/>
      <c r="I166" s="236"/>
      <c r="J166" s="236"/>
      <c r="K166" s="51"/>
      <c r="L166" s="61">
        <f>SUM(L163:L165)</f>
        <v>0</v>
      </c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</row>
    <row r="167" spans="1:41" s="31" customFormat="1" ht="24.95" customHeight="1">
      <c r="A167" s="396"/>
      <c r="B167" s="397" t="s">
        <v>7</v>
      </c>
      <c r="C167" s="397"/>
      <c r="D167" s="397" t="s">
        <v>221</v>
      </c>
      <c r="E167" s="398" t="s">
        <v>115</v>
      </c>
      <c r="F167" s="398"/>
      <c r="G167" s="398"/>
      <c r="H167" s="398"/>
      <c r="I167" s="398"/>
      <c r="J167" s="398"/>
      <c r="K167" s="399" t="s">
        <v>4</v>
      </c>
      <c r="L167" s="400" t="s">
        <v>116</v>
      </c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</row>
    <row r="168" spans="1:41" s="6" customFormat="1" ht="24.95" customHeight="1">
      <c r="A168" s="396"/>
      <c r="B168" s="397"/>
      <c r="C168" s="397"/>
      <c r="D168" s="397"/>
      <c r="E168" s="267" t="s">
        <v>276</v>
      </c>
      <c r="F168" s="267" t="s">
        <v>277</v>
      </c>
      <c r="G168" s="267" t="s">
        <v>383</v>
      </c>
      <c r="H168" s="267" t="s">
        <v>384</v>
      </c>
      <c r="I168" s="267" t="s">
        <v>385</v>
      </c>
      <c r="J168" s="270" t="s">
        <v>8</v>
      </c>
      <c r="K168" s="399"/>
      <c r="L168" s="400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</row>
    <row r="169" spans="1:41" s="254" customFormat="1" ht="24.95" customHeight="1">
      <c r="A169" s="252"/>
      <c r="B169" s="470" t="s">
        <v>123</v>
      </c>
      <c r="C169" s="470"/>
      <c r="D169" s="470"/>
      <c r="E169" s="470"/>
      <c r="F169" s="470"/>
      <c r="G169" s="470"/>
      <c r="H169" s="470"/>
      <c r="I169" s="470"/>
      <c r="J169" s="470"/>
      <c r="K169" s="470"/>
      <c r="L169" s="470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253"/>
      <c r="AM169" s="253"/>
      <c r="AN169" s="253"/>
      <c r="AO169" s="253"/>
    </row>
    <row r="170" spans="1:41" s="6" customFormat="1" ht="24.95" customHeight="1">
      <c r="A170" s="11"/>
      <c r="B170" s="403" t="s">
        <v>223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</row>
    <row r="171" spans="1:41" s="6" customFormat="1" ht="24.95" customHeight="1">
      <c r="A171" s="27" t="s">
        <v>37</v>
      </c>
      <c r="B171" s="404" t="s">
        <v>38</v>
      </c>
      <c r="C171" s="404"/>
      <c r="D171" s="11" t="s">
        <v>9</v>
      </c>
      <c r="E171" s="265">
        <v>3</v>
      </c>
      <c r="F171" s="266">
        <f aca="true" t="shared" si="25" ref="F171:F172">F170*0.23</f>
        <v>0</v>
      </c>
      <c r="G171" s="265">
        <v>0</v>
      </c>
      <c r="H171" s="265">
        <v>0</v>
      </c>
      <c r="I171" s="265">
        <v>0</v>
      </c>
      <c r="J171" s="289">
        <f>SUM(E171:I171)</f>
        <v>3</v>
      </c>
      <c r="K171" s="60">
        <v>0</v>
      </c>
      <c r="L171" s="62">
        <f>J171*K171</f>
        <v>0</v>
      </c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</row>
    <row r="172" spans="1:41" s="6" customFormat="1" ht="24.95" customHeight="1">
      <c r="A172" s="11" t="s">
        <v>39</v>
      </c>
      <c r="B172" s="407" t="s">
        <v>10</v>
      </c>
      <c r="C172" s="407"/>
      <c r="D172" s="11" t="s">
        <v>9</v>
      </c>
      <c r="E172" s="265">
        <v>3</v>
      </c>
      <c r="F172" s="266">
        <f t="shared" si="25"/>
        <v>0</v>
      </c>
      <c r="G172" s="265">
        <v>0</v>
      </c>
      <c r="H172" s="265">
        <v>0</v>
      </c>
      <c r="I172" s="265">
        <v>0</v>
      </c>
      <c r="J172" s="289">
        <f>SUM(E172:I172)</f>
        <v>3</v>
      </c>
      <c r="K172" s="60">
        <v>0</v>
      </c>
      <c r="L172" s="62">
        <f aca="true" t="shared" si="26" ref="L172:L173">J172*K172</f>
        <v>0</v>
      </c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</row>
    <row r="173" spans="1:41" s="6" customFormat="1" ht="24.95" customHeight="1">
      <c r="A173" s="15" t="s">
        <v>28</v>
      </c>
      <c r="B173" s="459" t="s">
        <v>216</v>
      </c>
      <c r="C173" s="459"/>
      <c r="D173" s="15" t="s">
        <v>15</v>
      </c>
      <c r="E173" s="266">
        <f aca="true" t="shared" si="27" ref="E173">E172*0.009</f>
        <v>0.026999999999999996</v>
      </c>
      <c r="F173" s="266">
        <f aca="true" t="shared" si="28" ref="F173">F172*0.23</f>
        <v>0</v>
      </c>
      <c r="G173" s="266">
        <f aca="true" t="shared" si="29" ref="G173:I173">G172*0.014</f>
        <v>0</v>
      </c>
      <c r="H173" s="266">
        <f t="shared" si="29"/>
        <v>0</v>
      </c>
      <c r="I173" s="266">
        <f t="shared" si="29"/>
        <v>0</v>
      </c>
      <c r="J173" s="289">
        <f>SUM(E173:I173)</f>
        <v>0.026999999999999996</v>
      </c>
      <c r="K173" s="60">
        <v>0</v>
      </c>
      <c r="L173" s="62">
        <f t="shared" si="26"/>
        <v>0</v>
      </c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</row>
    <row r="174" spans="1:41" s="6" customFormat="1" ht="24.95" customHeight="1">
      <c r="A174" s="11"/>
      <c r="B174" s="455" t="s">
        <v>233</v>
      </c>
      <c r="C174" s="455"/>
      <c r="D174" s="9"/>
      <c r="E174" s="236"/>
      <c r="F174" s="236"/>
      <c r="G174" s="236"/>
      <c r="H174" s="236"/>
      <c r="I174" s="236"/>
      <c r="J174" s="236"/>
      <c r="K174" s="52"/>
      <c r="L174" s="61">
        <f>SUM(L171:L173)</f>
        <v>0</v>
      </c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</row>
    <row r="175" spans="1:41" s="6" customFormat="1" ht="24.95" customHeight="1">
      <c r="A175" s="11"/>
      <c r="B175" s="403" t="s">
        <v>224</v>
      </c>
      <c r="C175" s="404"/>
      <c r="D175" s="404"/>
      <c r="E175" s="404"/>
      <c r="F175" s="404"/>
      <c r="G175" s="404"/>
      <c r="H175" s="404"/>
      <c r="I175" s="404"/>
      <c r="J175" s="404"/>
      <c r="K175" s="404"/>
      <c r="L175" s="404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</row>
    <row r="176" spans="1:41" s="6" customFormat="1" ht="24.95" customHeight="1">
      <c r="A176" s="27" t="s">
        <v>40</v>
      </c>
      <c r="B176" s="404" t="s">
        <v>41</v>
      </c>
      <c r="C176" s="404"/>
      <c r="D176" s="11" t="s">
        <v>9</v>
      </c>
      <c r="E176" s="265">
        <v>1</v>
      </c>
      <c r="F176" s="266">
        <f aca="true" t="shared" si="30" ref="F176:F177">F175*0.23</f>
        <v>0</v>
      </c>
      <c r="G176" s="265">
        <v>0</v>
      </c>
      <c r="H176" s="265">
        <v>0</v>
      </c>
      <c r="I176" s="265">
        <v>0</v>
      </c>
      <c r="J176" s="289">
        <f>SUM(E176:I176)</f>
        <v>1</v>
      </c>
      <c r="K176" s="60">
        <v>0</v>
      </c>
      <c r="L176" s="62">
        <f>J176*K176</f>
        <v>0</v>
      </c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</row>
    <row r="177" spans="1:41" s="6" customFormat="1" ht="24.95" customHeight="1">
      <c r="A177" s="11" t="s">
        <v>42</v>
      </c>
      <c r="B177" s="404" t="s">
        <v>11</v>
      </c>
      <c r="C177" s="404"/>
      <c r="D177" s="11" t="s">
        <v>9</v>
      </c>
      <c r="E177" s="265">
        <v>1</v>
      </c>
      <c r="F177" s="266">
        <f t="shared" si="30"/>
        <v>0</v>
      </c>
      <c r="G177" s="265">
        <v>0</v>
      </c>
      <c r="H177" s="265">
        <v>0</v>
      </c>
      <c r="I177" s="265">
        <v>0</v>
      </c>
      <c r="J177" s="289">
        <f>SUM(E177:I177)</f>
        <v>1</v>
      </c>
      <c r="K177" s="60">
        <v>0</v>
      </c>
      <c r="L177" s="62">
        <f aca="true" t="shared" si="31" ref="L177:L178">J177*K177</f>
        <v>0</v>
      </c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</row>
    <row r="178" spans="1:41" s="6" customFormat="1" ht="24.95" customHeight="1">
      <c r="A178" s="15" t="s">
        <v>28</v>
      </c>
      <c r="B178" s="459" t="s">
        <v>216</v>
      </c>
      <c r="C178" s="459"/>
      <c r="D178" s="15" t="s">
        <v>15</v>
      </c>
      <c r="E178" s="266">
        <f aca="true" t="shared" si="32" ref="E178:I178">E177*0.014</f>
        <v>0.014</v>
      </c>
      <c r="F178" s="266">
        <f aca="true" t="shared" si="33" ref="F178">F177*0.23</f>
        <v>0</v>
      </c>
      <c r="G178" s="266">
        <f t="shared" si="32"/>
        <v>0</v>
      </c>
      <c r="H178" s="266">
        <f t="shared" si="32"/>
        <v>0</v>
      </c>
      <c r="I178" s="266">
        <f t="shared" si="32"/>
        <v>0</v>
      </c>
      <c r="J178" s="289">
        <f>SUM(E178:I178)</f>
        <v>0.014</v>
      </c>
      <c r="K178" s="60">
        <v>0</v>
      </c>
      <c r="L178" s="62">
        <f t="shared" si="31"/>
        <v>0</v>
      </c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</row>
    <row r="179" spans="1:41" s="6" customFormat="1" ht="24.95" customHeight="1">
      <c r="A179" s="11"/>
      <c r="B179" s="455" t="s">
        <v>234</v>
      </c>
      <c r="C179" s="455"/>
      <c r="D179" s="9"/>
      <c r="E179" s="236"/>
      <c r="F179" s="236"/>
      <c r="G179" s="236"/>
      <c r="H179" s="236"/>
      <c r="I179" s="236"/>
      <c r="J179" s="236"/>
      <c r="K179" s="288"/>
      <c r="L179" s="61">
        <f>SUM(L176:L178)</f>
        <v>0</v>
      </c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</row>
    <row r="180" spans="1:41" s="6" customFormat="1" ht="24.95" customHeight="1">
      <c r="A180" s="11"/>
      <c r="B180" s="403" t="s">
        <v>225</v>
      </c>
      <c r="C180" s="404"/>
      <c r="D180" s="404"/>
      <c r="E180" s="404"/>
      <c r="F180" s="404"/>
      <c r="G180" s="404"/>
      <c r="H180" s="404"/>
      <c r="I180" s="404"/>
      <c r="J180" s="404"/>
      <c r="K180" s="404"/>
      <c r="L180" s="404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</row>
    <row r="181" spans="1:41" s="6" customFormat="1" ht="24.95" customHeight="1">
      <c r="A181" s="27" t="s">
        <v>43</v>
      </c>
      <c r="B181" s="404" t="s">
        <v>44</v>
      </c>
      <c r="C181" s="404"/>
      <c r="D181" s="11" t="s">
        <v>9</v>
      </c>
      <c r="E181" s="265">
        <v>1</v>
      </c>
      <c r="F181" s="266">
        <f aca="true" t="shared" si="34" ref="F181:F182">F180*0.23</f>
        <v>0</v>
      </c>
      <c r="G181" s="265">
        <v>0</v>
      </c>
      <c r="H181" s="265">
        <v>0</v>
      </c>
      <c r="I181" s="265">
        <v>0</v>
      </c>
      <c r="J181" s="289">
        <f>SUM(E181:I181)</f>
        <v>1</v>
      </c>
      <c r="K181" s="60">
        <v>0</v>
      </c>
      <c r="L181" s="62">
        <f>J181*K181</f>
        <v>0</v>
      </c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</row>
    <row r="182" spans="1:41" s="6" customFormat="1" ht="24.95" customHeight="1">
      <c r="A182" s="11" t="s">
        <v>45</v>
      </c>
      <c r="B182" s="404" t="s">
        <v>12</v>
      </c>
      <c r="C182" s="404"/>
      <c r="D182" s="11" t="s">
        <v>9</v>
      </c>
      <c r="E182" s="265">
        <v>1</v>
      </c>
      <c r="F182" s="266">
        <f t="shared" si="34"/>
        <v>0</v>
      </c>
      <c r="G182" s="265">
        <v>0</v>
      </c>
      <c r="H182" s="265">
        <v>0</v>
      </c>
      <c r="I182" s="265">
        <v>0</v>
      </c>
      <c r="J182" s="289">
        <f>SUM(E182:I182)</f>
        <v>1</v>
      </c>
      <c r="K182" s="60">
        <v>0</v>
      </c>
      <c r="L182" s="62">
        <f aca="true" t="shared" si="35" ref="L182:L183">J182*K182</f>
        <v>0</v>
      </c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</row>
    <row r="183" spans="1:41" s="6" customFormat="1" ht="24.95" customHeight="1">
      <c r="A183" s="15" t="s">
        <v>28</v>
      </c>
      <c r="B183" s="459" t="s">
        <v>216</v>
      </c>
      <c r="C183" s="459"/>
      <c r="D183" s="15" t="s">
        <v>15</v>
      </c>
      <c r="E183" s="266">
        <f aca="true" t="shared" si="36" ref="E183">E182*0.025</f>
        <v>0.025</v>
      </c>
      <c r="F183" s="266">
        <f aca="true" t="shared" si="37" ref="F183">F182*0.23</f>
        <v>0</v>
      </c>
      <c r="G183" s="266">
        <f aca="true" t="shared" si="38" ref="G183:I183">G182*0.014</f>
        <v>0</v>
      </c>
      <c r="H183" s="266">
        <f t="shared" si="38"/>
        <v>0</v>
      </c>
      <c r="I183" s="266">
        <f t="shared" si="38"/>
        <v>0</v>
      </c>
      <c r="J183" s="289">
        <f>SUM(E183:I183)</f>
        <v>0.025</v>
      </c>
      <c r="K183" s="60">
        <v>0</v>
      </c>
      <c r="L183" s="62">
        <f t="shared" si="35"/>
        <v>0</v>
      </c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</row>
    <row r="184" spans="1:41" s="6" customFormat="1" ht="24.95" customHeight="1">
      <c r="A184" s="11"/>
      <c r="B184" s="455" t="s">
        <v>235</v>
      </c>
      <c r="C184" s="455"/>
      <c r="D184" s="9"/>
      <c r="E184" s="236"/>
      <c r="F184" s="236"/>
      <c r="G184" s="268"/>
      <c r="H184" s="236"/>
      <c r="I184" s="236"/>
      <c r="J184" s="236"/>
      <c r="K184" s="53"/>
      <c r="L184" s="61">
        <f>SUM(L181:L183)</f>
        <v>0</v>
      </c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</row>
    <row r="185" spans="1:41" s="6" customFormat="1" ht="24.95" customHeight="1">
      <c r="A185" s="11"/>
      <c r="B185" s="403" t="s">
        <v>226</v>
      </c>
      <c r="C185" s="404"/>
      <c r="D185" s="404"/>
      <c r="E185" s="404"/>
      <c r="F185" s="404"/>
      <c r="G185" s="404"/>
      <c r="H185" s="404"/>
      <c r="I185" s="404"/>
      <c r="J185" s="404"/>
      <c r="K185" s="404"/>
      <c r="L185" s="404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</row>
    <row r="186" spans="1:41" s="6" customFormat="1" ht="24.95" customHeight="1">
      <c r="A186" s="27" t="s">
        <v>61</v>
      </c>
      <c r="B186" s="404" t="s">
        <v>60</v>
      </c>
      <c r="C186" s="404"/>
      <c r="D186" s="11" t="s">
        <v>9</v>
      </c>
      <c r="E186" s="265">
        <v>1</v>
      </c>
      <c r="F186" s="266">
        <f aca="true" t="shared" si="39" ref="F186:F187">F185*0.23</f>
        <v>0</v>
      </c>
      <c r="G186" s="265">
        <v>0</v>
      </c>
      <c r="H186" s="265">
        <v>0</v>
      </c>
      <c r="I186" s="265">
        <v>0</v>
      </c>
      <c r="J186" s="289">
        <f>SUM(E186:I186)</f>
        <v>1</v>
      </c>
      <c r="K186" s="60">
        <v>0</v>
      </c>
      <c r="L186" s="62">
        <f>J186*K186</f>
        <v>0</v>
      </c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</row>
    <row r="187" spans="1:41" s="6" customFormat="1" ht="24.95" customHeight="1">
      <c r="A187" s="11" t="s">
        <v>62</v>
      </c>
      <c r="B187" s="448" t="s">
        <v>212</v>
      </c>
      <c r="C187" s="407"/>
      <c r="D187" s="11" t="s">
        <v>9</v>
      </c>
      <c r="E187" s="265">
        <v>1</v>
      </c>
      <c r="F187" s="266">
        <f t="shared" si="39"/>
        <v>0</v>
      </c>
      <c r="G187" s="265">
        <v>0</v>
      </c>
      <c r="H187" s="265">
        <v>0</v>
      </c>
      <c r="I187" s="265">
        <v>0</v>
      </c>
      <c r="J187" s="289">
        <f>SUM(E187:I187)</f>
        <v>1</v>
      </c>
      <c r="K187" s="60">
        <v>0</v>
      </c>
      <c r="L187" s="62">
        <f>J187*K187</f>
        <v>0</v>
      </c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</row>
    <row r="188" spans="1:41" s="6" customFormat="1" ht="24.95" customHeight="1">
      <c r="A188" s="15" t="s">
        <v>28</v>
      </c>
      <c r="B188" s="459" t="s">
        <v>216</v>
      </c>
      <c r="C188" s="459"/>
      <c r="D188" s="15" t="s">
        <v>15</v>
      </c>
      <c r="E188" s="266">
        <f aca="true" t="shared" si="40" ref="E188">E187*0.04</f>
        <v>0.04</v>
      </c>
      <c r="F188" s="266">
        <f aca="true" t="shared" si="41" ref="F188">F187*0.23</f>
        <v>0</v>
      </c>
      <c r="G188" s="266">
        <f aca="true" t="shared" si="42" ref="G188:I188">G187*0.014</f>
        <v>0</v>
      </c>
      <c r="H188" s="266">
        <f t="shared" si="42"/>
        <v>0</v>
      </c>
      <c r="I188" s="266">
        <f t="shared" si="42"/>
        <v>0</v>
      </c>
      <c r="J188" s="289">
        <f>SUM(E188:I188)</f>
        <v>0.04</v>
      </c>
      <c r="K188" s="60">
        <v>0</v>
      </c>
      <c r="L188" s="62">
        <f>J188*K188</f>
        <v>0</v>
      </c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</row>
    <row r="189" spans="1:41" s="6" customFormat="1" ht="24.95" customHeight="1">
      <c r="A189" s="11"/>
      <c r="B189" s="455" t="s">
        <v>236</v>
      </c>
      <c r="C189" s="455"/>
      <c r="D189" s="9"/>
      <c r="E189" s="236"/>
      <c r="F189" s="236"/>
      <c r="G189" s="236"/>
      <c r="H189" s="236"/>
      <c r="I189" s="236"/>
      <c r="J189" s="236"/>
      <c r="K189" s="53"/>
      <c r="L189" s="61">
        <f>SUM(L186:L188)</f>
        <v>0</v>
      </c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</row>
    <row r="190" spans="1:41" s="6" customFormat="1" ht="24.95" customHeight="1">
      <c r="A190" s="11"/>
      <c r="B190" s="393" t="s">
        <v>227</v>
      </c>
      <c r="C190" s="394"/>
      <c r="D190" s="394"/>
      <c r="E190" s="394"/>
      <c r="F190" s="394"/>
      <c r="G190" s="394"/>
      <c r="H190" s="394"/>
      <c r="I190" s="394"/>
      <c r="J190" s="394"/>
      <c r="K190" s="394"/>
      <c r="L190" s="394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</row>
    <row r="191" spans="1:41" s="6" customFormat="1" ht="24.95" customHeight="1">
      <c r="A191" s="11" t="s">
        <v>46</v>
      </c>
      <c r="B191" s="404" t="s">
        <v>47</v>
      </c>
      <c r="C191" s="404"/>
      <c r="D191" s="11" t="s">
        <v>9</v>
      </c>
      <c r="E191" s="265">
        <v>4</v>
      </c>
      <c r="F191" s="266">
        <f aca="true" t="shared" si="43" ref="F191:F192">F190*0.23</f>
        <v>0</v>
      </c>
      <c r="G191" s="265">
        <v>0</v>
      </c>
      <c r="H191" s="265">
        <v>0</v>
      </c>
      <c r="I191" s="265">
        <v>0</v>
      </c>
      <c r="J191" s="289">
        <f>SUM(E191:I191)</f>
        <v>4</v>
      </c>
      <c r="K191" s="60">
        <v>0</v>
      </c>
      <c r="L191" s="62">
        <f>J191*K191</f>
        <v>0</v>
      </c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</row>
    <row r="192" spans="1:41" s="6" customFormat="1" ht="24.95" customHeight="1">
      <c r="A192" s="11" t="s">
        <v>48</v>
      </c>
      <c r="B192" s="404" t="s">
        <v>13</v>
      </c>
      <c r="C192" s="404"/>
      <c r="D192" s="11" t="s">
        <v>9</v>
      </c>
      <c r="E192" s="265">
        <v>4</v>
      </c>
      <c r="F192" s="266">
        <f t="shared" si="43"/>
        <v>0</v>
      </c>
      <c r="G192" s="265">
        <v>0</v>
      </c>
      <c r="H192" s="265">
        <v>0</v>
      </c>
      <c r="I192" s="265">
        <v>0</v>
      </c>
      <c r="J192" s="289">
        <f>SUM(E192:I192)</f>
        <v>4</v>
      </c>
      <c r="K192" s="60">
        <v>0</v>
      </c>
      <c r="L192" s="62">
        <f aca="true" t="shared" si="44" ref="L192:L193">J192*K192</f>
        <v>0</v>
      </c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</row>
    <row r="193" spans="1:41" s="6" customFormat="1" ht="24.95" customHeight="1">
      <c r="A193" s="15" t="s">
        <v>28</v>
      </c>
      <c r="B193" s="459" t="s">
        <v>216</v>
      </c>
      <c r="C193" s="459"/>
      <c r="D193" s="15" t="s">
        <v>15</v>
      </c>
      <c r="E193" s="266">
        <f aca="true" t="shared" si="45" ref="E193">E192*0.057</f>
        <v>0.228</v>
      </c>
      <c r="F193" s="266">
        <f aca="true" t="shared" si="46" ref="F193">F192*0.23</f>
        <v>0</v>
      </c>
      <c r="G193" s="266">
        <f aca="true" t="shared" si="47" ref="G193:I193">G192*0.014</f>
        <v>0</v>
      </c>
      <c r="H193" s="266">
        <f t="shared" si="47"/>
        <v>0</v>
      </c>
      <c r="I193" s="266">
        <f t="shared" si="47"/>
        <v>0</v>
      </c>
      <c r="J193" s="289">
        <f>SUM(E193:I193)</f>
        <v>0.228</v>
      </c>
      <c r="K193" s="60">
        <v>0</v>
      </c>
      <c r="L193" s="62">
        <f t="shared" si="44"/>
        <v>0</v>
      </c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</row>
    <row r="194" spans="1:41" s="6" customFormat="1" ht="24.95" customHeight="1">
      <c r="A194" s="11"/>
      <c r="B194" s="458" t="s">
        <v>239</v>
      </c>
      <c r="C194" s="458"/>
      <c r="D194" s="9"/>
      <c r="E194" s="236"/>
      <c r="F194" s="236"/>
      <c r="G194" s="236"/>
      <c r="H194" s="236"/>
      <c r="I194" s="236"/>
      <c r="J194" s="236"/>
      <c r="K194" s="51"/>
      <c r="L194" s="61">
        <f>SUM(L191:L193)</f>
        <v>0</v>
      </c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</row>
    <row r="195" spans="1:41" s="6" customFormat="1" ht="24.95" customHeight="1">
      <c r="A195" s="11"/>
      <c r="B195" s="393" t="s">
        <v>228</v>
      </c>
      <c r="C195" s="394"/>
      <c r="D195" s="394"/>
      <c r="E195" s="394"/>
      <c r="F195" s="394"/>
      <c r="G195" s="394"/>
      <c r="H195" s="394"/>
      <c r="I195" s="394"/>
      <c r="J195" s="394"/>
      <c r="K195" s="394"/>
      <c r="L195" s="394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</row>
    <row r="196" spans="1:41" s="6" customFormat="1" ht="24.95" customHeight="1">
      <c r="A196" s="11" t="s">
        <v>78</v>
      </c>
      <c r="B196" s="404" t="s">
        <v>75</v>
      </c>
      <c r="C196" s="404"/>
      <c r="D196" s="11" t="s">
        <v>9</v>
      </c>
      <c r="E196" s="265">
        <v>1</v>
      </c>
      <c r="F196" s="266">
        <f aca="true" t="shared" si="48" ref="F196:F197">F195*0.23</f>
        <v>0</v>
      </c>
      <c r="G196" s="265">
        <v>0</v>
      </c>
      <c r="H196" s="265">
        <v>0</v>
      </c>
      <c r="I196" s="265">
        <v>0</v>
      </c>
      <c r="J196" s="289">
        <f>SUM(E196:I196)</f>
        <v>1</v>
      </c>
      <c r="K196" s="60">
        <v>0</v>
      </c>
      <c r="L196" s="62">
        <f>J196*K196</f>
        <v>0</v>
      </c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</row>
    <row r="197" spans="1:41" s="6" customFormat="1" ht="24.95" customHeight="1">
      <c r="A197" s="11" t="s">
        <v>79</v>
      </c>
      <c r="B197" s="404" t="s">
        <v>76</v>
      </c>
      <c r="C197" s="404"/>
      <c r="D197" s="11" t="s">
        <v>9</v>
      </c>
      <c r="E197" s="265">
        <v>1</v>
      </c>
      <c r="F197" s="266">
        <f t="shared" si="48"/>
        <v>0</v>
      </c>
      <c r="G197" s="265">
        <v>0</v>
      </c>
      <c r="H197" s="265">
        <v>0</v>
      </c>
      <c r="I197" s="265">
        <v>0</v>
      </c>
      <c r="J197" s="289">
        <f>SUM(E197:I197)</f>
        <v>1</v>
      </c>
      <c r="K197" s="60">
        <v>0</v>
      </c>
      <c r="L197" s="62">
        <f aca="true" t="shared" si="49" ref="L197:L198">J197*K197</f>
        <v>0</v>
      </c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</row>
    <row r="198" spans="1:41" s="6" customFormat="1" ht="24.95" customHeight="1">
      <c r="A198" s="15" t="s">
        <v>28</v>
      </c>
      <c r="B198" s="459" t="s">
        <v>216</v>
      </c>
      <c r="C198" s="459"/>
      <c r="D198" s="15" t="s">
        <v>15</v>
      </c>
      <c r="E198" s="266">
        <f aca="true" t="shared" si="50" ref="E198">E197*0.077</f>
        <v>0.077</v>
      </c>
      <c r="F198" s="266">
        <f aca="true" t="shared" si="51" ref="F198">F197*0.23</f>
        <v>0</v>
      </c>
      <c r="G198" s="266">
        <f aca="true" t="shared" si="52" ref="G198:I198">G197*0.014</f>
        <v>0</v>
      </c>
      <c r="H198" s="266">
        <f t="shared" si="52"/>
        <v>0</v>
      </c>
      <c r="I198" s="266">
        <f t="shared" si="52"/>
        <v>0</v>
      </c>
      <c r="J198" s="289">
        <f>SUM(E198:I198)</f>
        <v>0.077</v>
      </c>
      <c r="K198" s="60">
        <v>0</v>
      </c>
      <c r="L198" s="62">
        <f t="shared" si="49"/>
        <v>0</v>
      </c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</row>
    <row r="199" spans="1:41" s="6" customFormat="1" ht="24.95" customHeight="1">
      <c r="A199" s="11"/>
      <c r="B199" s="107" t="s">
        <v>237</v>
      </c>
      <c r="C199" s="107"/>
      <c r="D199" s="9"/>
      <c r="E199" s="236"/>
      <c r="F199" s="236"/>
      <c r="G199" s="236"/>
      <c r="H199" s="236"/>
      <c r="I199" s="236"/>
      <c r="J199" s="236"/>
      <c r="K199" s="51"/>
      <c r="L199" s="61">
        <f>SUM(L196:L198)</f>
        <v>0</v>
      </c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</row>
    <row r="200" spans="1:41" s="6" customFormat="1" ht="24.95" customHeight="1">
      <c r="A200" s="11"/>
      <c r="B200" s="393" t="s">
        <v>229</v>
      </c>
      <c r="C200" s="394"/>
      <c r="D200" s="394"/>
      <c r="E200" s="394"/>
      <c r="F200" s="394"/>
      <c r="G200" s="394"/>
      <c r="H200" s="394"/>
      <c r="I200" s="394"/>
      <c r="J200" s="394"/>
      <c r="K200" s="394"/>
      <c r="L200" s="394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</row>
    <row r="201" spans="1:41" s="31" customFormat="1" ht="24.95" customHeight="1">
      <c r="A201" s="396"/>
      <c r="B201" s="397" t="s">
        <v>7</v>
      </c>
      <c r="C201" s="397"/>
      <c r="D201" s="397" t="s">
        <v>221</v>
      </c>
      <c r="E201" s="398" t="s">
        <v>115</v>
      </c>
      <c r="F201" s="398"/>
      <c r="G201" s="398"/>
      <c r="H201" s="398"/>
      <c r="I201" s="398"/>
      <c r="J201" s="398"/>
      <c r="K201" s="399" t="s">
        <v>4</v>
      </c>
      <c r="L201" s="400" t="s">
        <v>116</v>
      </c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</row>
    <row r="202" spans="1:41" s="6" customFormat="1" ht="24.95" customHeight="1">
      <c r="A202" s="396"/>
      <c r="B202" s="397"/>
      <c r="C202" s="397"/>
      <c r="D202" s="397"/>
      <c r="E202" s="267" t="s">
        <v>276</v>
      </c>
      <c r="F202" s="267" t="s">
        <v>277</v>
      </c>
      <c r="G202" s="267" t="s">
        <v>383</v>
      </c>
      <c r="H202" s="267" t="s">
        <v>384</v>
      </c>
      <c r="I202" s="267" t="s">
        <v>385</v>
      </c>
      <c r="J202" s="270" t="s">
        <v>8</v>
      </c>
      <c r="K202" s="399"/>
      <c r="L202" s="400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</row>
    <row r="203" spans="1:41" s="6" customFormat="1" ht="24.95" customHeight="1">
      <c r="A203" s="11" t="s">
        <v>72</v>
      </c>
      <c r="B203" s="404" t="s">
        <v>77</v>
      </c>
      <c r="C203" s="404"/>
      <c r="D203" s="11" t="s">
        <v>9</v>
      </c>
      <c r="E203" s="265">
        <v>1</v>
      </c>
      <c r="F203" s="266">
        <f>F200*0.23</f>
        <v>0</v>
      </c>
      <c r="G203" s="265">
        <v>0</v>
      </c>
      <c r="H203" s="265">
        <v>0</v>
      </c>
      <c r="I203" s="265">
        <v>0</v>
      </c>
      <c r="J203" s="289">
        <f>SUM(E203:I203)</f>
        <v>1</v>
      </c>
      <c r="K203" s="60">
        <v>0</v>
      </c>
      <c r="L203" s="62">
        <f>J203*K203</f>
        <v>0</v>
      </c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</row>
    <row r="204" spans="1:41" s="6" customFormat="1" ht="24.95" customHeight="1">
      <c r="A204" s="11" t="s">
        <v>73</v>
      </c>
      <c r="B204" s="404" t="s">
        <v>74</v>
      </c>
      <c r="C204" s="404"/>
      <c r="D204" s="11" t="s">
        <v>9</v>
      </c>
      <c r="E204" s="265">
        <v>1</v>
      </c>
      <c r="F204" s="266">
        <f aca="true" t="shared" si="53" ref="F204">F203*0.23</f>
        <v>0</v>
      </c>
      <c r="G204" s="265">
        <v>0</v>
      </c>
      <c r="H204" s="265">
        <v>0</v>
      </c>
      <c r="I204" s="265">
        <v>0</v>
      </c>
      <c r="J204" s="289">
        <f>SUM(E204:I204)</f>
        <v>1</v>
      </c>
      <c r="K204" s="60">
        <v>0</v>
      </c>
      <c r="L204" s="62">
        <f aca="true" t="shared" si="54" ref="L204:L205">J204*K204</f>
        <v>0</v>
      </c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</row>
    <row r="205" spans="1:41" s="6" customFormat="1" ht="24.95" customHeight="1">
      <c r="A205" s="15" t="s">
        <v>28</v>
      </c>
      <c r="B205" s="459" t="s">
        <v>216</v>
      </c>
      <c r="C205" s="459"/>
      <c r="D205" s="15" t="s">
        <v>15</v>
      </c>
      <c r="E205" s="266">
        <f aca="true" t="shared" si="55" ref="E205">E204*0.1</f>
        <v>0.1</v>
      </c>
      <c r="F205" s="266">
        <f aca="true" t="shared" si="56" ref="F205">F204*0.23</f>
        <v>0</v>
      </c>
      <c r="G205" s="266">
        <f aca="true" t="shared" si="57" ref="G205:I205">G204*0.014</f>
        <v>0</v>
      </c>
      <c r="H205" s="266">
        <f t="shared" si="57"/>
        <v>0</v>
      </c>
      <c r="I205" s="266">
        <f t="shared" si="57"/>
        <v>0</v>
      </c>
      <c r="J205" s="289">
        <f>SUM(E205:I205)</f>
        <v>0.1</v>
      </c>
      <c r="K205" s="60">
        <v>0</v>
      </c>
      <c r="L205" s="62">
        <f t="shared" si="54"/>
        <v>0</v>
      </c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</row>
    <row r="206" spans="1:41" s="6" customFormat="1" ht="24.95" customHeight="1">
      <c r="A206" s="11"/>
      <c r="B206" s="455" t="s">
        <v>238</v>
      </c>
      <c r="C206" s="455"/>
      <c r="D206" s="9"/>
      <c r="E206" s="236"/>
      <c r="F206" s="236"/>
      <c r="G206" s="236"/>
      <c r="H206" s="236"/>
      <c r="I206" s="236"/>
      <c r="J206" s="236"/>
      <c r="K206" s="53"/>
      <c r="L206" s="61">
        <f>SUM(L203:L205)</f>
        <v>0</v>
      </c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</row>
    <row r="207" spans="1:12" ht="24.95" customHeight="1">
      <c r="A207" s="11"/>
      <c r="B207" s="484" t="s">
        <v>34</v>
      </c>
      <c r="C207" s="418"/>
      <c r="D207" s="418"/>
      <c r="E207" s="418"/>
      <c r="F207" s="418"/>
      <c r="G207" s="418"/>
      <c r="H207" s="418"/>
      <c r="I207" s="418"/>
      <c r="J207" s="418"/>
      <c r="K207" s="418"/>
      <c r="L207" s="418"/>
    </row>
    <row r="208" spans="1:12" ht="48" customHeight="1">
      <c r="A208" s="11" t="s">
        <v>27</v>
      </c>
      <c r="B208" s="463" t="s">
        <v>505</v>
      </c>
      <c r="C208" s="422"/>
      <c r="D208" s="28" t="s">
        <v>14</v>
      </c>
      <c r="E208" s="269">
        <v>96.1</v>
      </c>
      <c r="F208" s="269">
        <v>2272</v>
      </c>
      <c r="G208" s="266">
        <f aca="true" t="shared" si="58" ref="G208">G207*0.014</f>
        <v>0</v>
      </c>
      <c r="H208" s="264">
        <v>87.5</v>
      </c>
      <c r="I208" s="264">
        <v>125.3</v>
      </c>
      <c r="J208" s="290">
        <f>SUM(E208:I208)</f>
        <v>2580.9</v>
      </c>
      <c r="K208" s="60">
        <v>0</v>
      </c>
      <c r="L208" s="117">
        <f>J208*K208</f>
        <v>0</v>
      </c>
    </row>
    <row r="209" spans="1:41" s="8" customFormat="1" ht="24.95" customHeight="1">
      <c r="A209" s="34"/>
      <c r="B209" s="485" t="s">
        <v>35</v>
      </c>
      <c r="C209" s="485"/>
      <c r="D209" s="22"/>
      <c r="E209" s="237"/>
      <c r="F209" s="237"/>
      <c r="G209" s="237"/>
      <c r="H209" s="237"/>
      <c r="I209" s="237"/>
      <c r="J209" s="238"/>
      <c r="K209" s="23"/>
      <c r="L209" s="65">
        <f>+SUM(L208:L208)</f>
        <v>0</v>
      </c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</row>
    <row r="210" spans="1:41" s="6" customFormat="1" ht="24.95" customHeight="1">
      <c r="A210" s="11"/>
      <c r="B210" s="460" t="s">
        <v>222</v>
      </c>
      <c r="C210" s="460"/>
      <c r="D210" s="460"/>
      <c r="E210" s="460"/>
      <c r="F210" s="460"/>
      <c r="G210" s="460"/>
      <c r="H210" s="460"/>
      <c r="I210" s="460"/>
      <c r="J210" s="460"/>
      <c r="K210" s="460"/>
      <c r="L210" s="61">
        <v>0</v>
      </c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</row>
    <row r="211" spans="1:41" s="263" customFormat="1" ht="34.5" customHeight="1">
      <c r="A211" s="260"/>
      <c r="B211" s="461" t="s">
        <v>497</v>
      </c>
      <c r="C211" s="461"/>
      <c r="D211" s="461"/>
      <c r="E211" s="461"/>
      <c r="F211" s="461"/>
      <c r="G211" s="461"/>
      <c r="H211" s="461"/>
      <c r="I211" s="461"/>
      <c r="J211" s="461"/>
      <c r="K211" s="461"/>
      <c r="L211" s="261">
        <f>SUM(L210,L209,L206,L199,L194,L189,L184,L179,L174,L166,L161,L157,L152,L147)</f>
        <v>0</v>
      </c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262"/>
      <c r="AK211" s="262"/>
      <c r="AL211" s="262"/>
      <c r="AM211" s="262"/>
      <c r="AN211" s="262"/>
      <c r="AO211" s="262"/>
    </row>
    <row r="212" spans="1:41" s="275" customFormat="1" ht="35.1" customHeight="1">
      <c r="A212" s="273"/>
      <c r="B212" s="517" t="s">
        <v>484</v>
      </c>
      <c r="C212" s="517"/>
      <c r="D212" s="517"/>
      <c r="E212" s="517"/>
      <c r="F212" s="517"/>
      <c r="G212" s="517"/>
      <c r="H212" s="517"/>
      <c r="I212" s="517"/>
      <c r="J212" s="517"/>
      <c r="K212" s="517"/>
      <c r="L212" s="517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4"/>
      <c r="X212" s="274"/>
      <c r="Y212" s="274"/>
      <c r="Z212" s="274"/>
      <c r="AA212" s="274"/>
      <c r="AB212" s="274"/>
      <c r="AC212" s="274"/>
      <c r="AD212" s="274"/>
      <c r="AE212" s="274"/>
      <c r="AF212" s="274"/>
      <c r="AG212" s="274"/>
      <c r="AH212" s="274"/>
      <c r="AI212" s="274"/>
      <c r="AJ212" s="274"/>
      <c r="AK212" s="274"/>
      <c r="AL212" s="274"/>
      <c r="AM212" s="274"/>
      <c r="AN212" s="274"/>
      <c r="AO212" s="274"/>
    </row>
    <row r="213" spans="1:41" s="31" customFormat="1" ht="24.95" customHeight="1">
      <c r="A213" s="396"/>
      <c r="B213" s="397" t="s">
        <v>7</v>
      </c>
      <c r="C213" s="397"/>
      <c r="D213" s="397" t="s">
        <v>221</v>
      </c>
      <c r="E213" s="398" t="s">
        <v>115</v>
      </c>
      <c r="F213" s="398"/>
      <c r="G213" s="398"/>
      <c r="H213" s="398"/>
      <c r="I213" s="398"/>
      <c r="J213" s="398"/>
      <c r="K213" s="399" t="s">
        <v>4</v>
      </c>
      <c r="L213" s="400" t="s">
        <v>116</v>
      </c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</row>
    <row r="214" spans="1:41" s="6" customFormat="1" ht="24.95" customHeight="1">
      <c r="A214" s="396"/>
      <c r="B214" s="397"/>
      <c r="C214" s="397"/>
      <c r="D214" s="397"/>
      <c r="E214" s="267" t="s">
        <v>276</v>
      </c>
      <c r="F214" s="267" t="s">
        <v>277</v>
      </c>
      <c r="G214" s="267" t="s">
        <v>383</v>
      </c>
      <c r="H214" s="267" t="s">
        <v>384</v>
      </c>
      <c r="I214" s="267" t="s">
        <v>385</v>
      </c>
      <c r="J214" s="270" t="s">
        <v>8</v>
      </c>
      <c r="K214" s="399"/>
      <c r="L214" s="400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</row>
    <row r="215" spans="1:41" s="272" customFormat="1" ht="24.95" customHeight="1">
      <c r="A215" s="265"/>
      <c r="B215" s="486" t="s">
        <v>127</v>
      </c>
      <c r="C215" s="486"/>
      <c r="D215" s="486"/>
      <c r="E215" s="486"/>
      <c r="F215" s="486"/>
      <c r="G215" s="486"/>
      <c r="H215" s="486"/>
      <c r="I215" s="486"/>
      <c r="J215" s="486"/>
      <c r="K215" s="486"/>
      <c r="L215" s="486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  <c r="AB215" s="271"/>
      <c r="AC215" s="271"/>
      <c r="AD215" s="271"/>
      <c r="AE215" s="271"/>
      <c r="AF215" s="271"/>
      <c r="AG215" s="271"/>
      <c r="AH215" s="271"/>
      <c r="AI215" s="271"/>
      <c r="AJ215" s="271"/>
      <c r="AK215" s="271"/>
      <c r="AL215" s="271"/>
      <c r="AM215" s="271"/>
      <c r="AN215" s="271"/>
      <c r="AO215" s="271"/>
    </row>
    <row r="216" spans="1:41" s="277" customFormat="1" ht="24.95" customHeight="1">
      <c r="A216" s="265"/>
      <c r="B216" s="477" t="s">
        <v>133</v>
      </c>
      <c r="C216" s="477"/>
      <c r="D216" s="477"/>
      <c r="E216" s="477"/>
      <c r="F216" s="477"/>
      <c r="G216" s="477"/>
      <c r="H216" s="477"/>
      <c r="I216" s="477"/>
      <c r="J216" s="477"/>
      <c r="K216" s="477"/>
      <c r="L216" s="477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6"/>
      <c r="AC216" s="276"/>
      <c r="AD216" s="276"/>
      <c r="AE216" s="276"/>
      <c r="AF216" s="276"/>
      <c r="AG216" s="276"/>
      <c r="AH216" s="276"/>
      <c r="AI216" s="276"/>
      <c r="AJ216" s="276"/>
      <c r="AK216" s="276"/>
      <c r="AL216" s="276"/>
      <c r="AM216" s="276"/>
      <c r="AN216" s="276"/>
      <c r="AO216" s="276"/>
    </row>
    <row r="217" spans="1:41" s="277" customFormat="1" ht="24.95" customHeight="1">
      <c r="A217" s="265" t="s">
        <v>135</v>
      </c>
      <c r="B217" s="462" t="s">
        <v>128</v>
      </c>
      <c r="C217" s="462"/>
      <c r="D217" s="265" t="s">
        <v>9</v>
      </c>
      <c r="E217" s="265">
        <v>0</v>
      </c>
      <c r="F217" s="265">
        <v>5</v>
      </c>
      <c r="G217" s="265">
        <v>0</v>
      </c>
      <c r="H217" s="265">
        <v>0</v>
      </c>
      <c r="I217" s="265">
        <v>1</v>
      </c>
      <c r="J217" s="285">
        <f aca="true" t="shared" si="59" ref="J217:J223">SUM(E217:I217)</f>
        <v>6</v>
      </c>
      <c r="K217" s="60">
        <v>0</v>
      </c>
      <c r="L217" s="279">
        <f>J217*K217</f>
        <v>0</v>
      </c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276"/>
      <c r="AD217" s="276"/>
      <c r="AE217" s="276"/>
      <c r="AF217" s="276"/>
      <c r="AG217" s="276"/>
      <c r="AH217" s="276"/>
      <c r="AI217" s="276"/>
      <c r="AJ217" s="276"/>
      <c r="AK217" s="276"/>
      <c r="AL217" s="276"/>
      <c r="AM217" s="276"/>
      <c r="AN217" s="276"/>
      <c r="AO217" s="276"/>
    </row>
    <row r="218" spans="1:41" s="277" customFormat="1" ht="24.95" customHeight="1">
      <c r="A218" s="265" t="s">
        <v>136</v>
      </c>
      <c r="B218" s="462" t="s">
        <v>129</v>
      </c>
      <c r="C218" s="462"/>
      <c r="D218" s="265" t="s">
        <v>9</v>
      </c>
      <c r="E218" s="265">
        <v>2</v>
      </c>
      <c r="F218" s="265">
        <v>0</v>
      </c>
      <c r="G218" s="265">
        <v>0</v>
      </c>
      <c r="H218" s="265">
        <v>0</v>
      </c>
      <c r="I218" s="265">
        <v>1</v>
      </c>
      <c r="J218" s="285">
        <f t="shared" si="59"/>
        <v>3</v>
      </c>
      <c r="K218" s="60">
        <v>0</v>
      </c>
      <c r="L218" s="279">
        <f aca="true" t="shared" si="60" ref="L218:L223">J218*K218</f>
        <v>0</v>
      </c>
      <c r="M218" s="276"/>
      <c r="N218" s="276"/>
      <c r="O218" s="276"/>
      <c r="P218" s="276"/>
      <c r="Q218" s="276"/>
      <c r="R218" s="276"/>
      <c r="S218" s="276"/>
      <c r="T218" s="276"/>
      <c r="U218" s="276"/>
      <c r="V218" s="276"/>
      <c r="W218" s="276"/>
      <c r="X218" s="276"/>
      <c r="Y218" s="276"/>
      <c r="Z218" s="276"/>
      <c r="AA218" s="276"/>
      <c r="AB218" s="276"/>
      <c r="AC218" s="276"/>
      <c r="AD218" s="276"/>
      <c r="AE218" s="276"/>
      <c r="AF218" s="276"/>
      <c r="AG218" s="276"/>
      <c r="AH218" s="276"/>
      <c r="AI218" s="276"/>
      <c r="AJ218" s="276"/>
      <c r="AK218" s="276"/>
      <c r="AL218" s="276"/>
      <c r="AM218" s="276"/>
      <c r="AN218" s="276"/>
      <c r="AO218" s="276"/>
    </row>
    <row r="219" spans="1:41" s="277" customFormat="1" ht="24.95" customHeight="1">
      <c r="A219" s="265" t="s">
        <v>137</v>
      </c>
      <c r="B219" s="462" t="s">
        <v>130</v>
      </c>
      <c r="C219" s="462"/>
      <c r="D219" s="265" t="s">
        <v>9</v>
      </c>
      <c r="E219" s="265">
        <v>11</v>
      </c>
      <c r="F219" s="265">
        <v>0</v>
      </c>
      <c r="G219" s="265">
        <v>0</v>
      </c>
      <c r="H219" s="265">
        <v>0</v>
      </c>
      <c r="I219" s="265">
        <v>0</v>
      </c>
      <c r="J219" s="285">
        <f t="shared" si="59"/>
        <v>11</v>
      </c>
      <c r="K219" s="60">
        <v>0</v>
      </c>
      <c r="L219" s="279">
        <f t="shared" si="60"/>
        <v>0</v>
      </c>
      <c r="M219" s="276"/>
      <c r="N219" s="276"/>
      <c r="O219" s="276"/>
      <c r="P219" s="276"/>
      <c r="Q219" s="276"/>
      <c r="R219" s="276"/>
      <c r="S219" s="276"/>
      <c r="T219" s="276"/>
      <c r="U219" s="276"/>
      <c r="V219" s="276"/>
      <c r="W219" s="276"/>
      <c r="X219" s="276"/>
      <c r="Y219" s="276"/>
      <c r="Z219" s="276"/>
      <c r="AA219" s="276"/>
      <c r="AB219" s="276"/>
      <c r="AC219" s="276"/>
      <c r="AD219" s="276"/>
      <c r="AE219" s="276"/>
      <c r="AF219" s="276"/>
      <c r="AG219" s="276"/>
      <c r="AH219" s="276"/>
      <c r="AI219" s="276"/>
      <c r="AJ219" s="276"/>
      <c r="AK219" s="276"/>
      <c r="AL219" s="276"/>
      <c r="AM219" s="276"/>
      <c r="AN219" s="276"/>
      <c r="AO219" s="276"/>
    </row>
    <row r="220" spans="1:41" s="277" customFormat="1" ht="24.95" customHeight="1">
      <c r="A220" s="265" t="s">
        <v>138</v>
      </c>
      <c r="B220" s="462" t="s">
        <v>131</v>
      </c>
      <c r="C220" s="462"/>
      <c r="D220" s="265" t="s">
        <v>9</v>
      </c>
      <c r="E220" s="265">
        <v>3</v>
      </c>
      <c r="F220" s="265">
        <v>0</v>
      </c>
      <c r="G220" s="265">
        <v>0</v>
      </c>
      <c r="H220" s="265">
        <v>0</v>
      </c>
      <c r="I220" s="265">
        <v>0</v>
      </c>
      <c r="J220" s="285">
        <f t="shared" si="59"/>
        <v>3</v>
      </c>
      <c r="K220" s="60">
        <v>0</v>
      </c>
      <c r="L220" s="279">
        <f t="shared" si="60"/>
        <v>0</v>
      </c>
      <c r="M220" s="276"/>
      <c r="N220" s="276"/>
      <c r="O220" s="276"/>
      <c r="P220" s="276"/>
      <c r="Q220" s="276"/>
      <c r="R220" s="276"/>
      <c r="S220" s="276"/>
      <c r="T220" s="276"/>
      <c r="U220" s="276"/>
      <c r="V220" s="276"/>
      <c r="W220" s="276"/>
      <c r="X220" s="276"/>
      <c r="Y220" s="276"/>
      <c r="Z220" s="276"/>
      <c r="AA220" s="276"/>
      <c r="AB220" s="276"/>
      <c r="AC220" s="276"/>
      <c r="AD220" s="276"/>
      <c r="AE220" s="276"/>
      <c r="AF220" s="276"/>
      <c r="AG220" s="276"/>
      <c r="AH220" s="276"/>
      <c r="AI220" s="276"/>
      <c r="AJ220" s="276"/>
      <c r="AK220" s="276"/>
      <c r="AL220" s="276"/>
      <c r="AM220" s="276"/>
      <c r="AN220" s="276"/>
      <c r="AO220" s="276"/>
    </row>
    <row r="221" spans="1:41" s="277" customFormat="1" ht="24.95" customHeight="1">
      <c r="A221" s="265" t="s">
        <v>219</v>
      </c>
      <c r="B221" s="462" t="s">
        <v>217</v>
      </c>
      <c r="C221" s="462"/>
      <c r="D221" s="265" t="s">
        <v>9</v>
      </c>
      <c r="E221" s="265">
        <v>2</v>
      </c>
      <c r="F221" s="265">
        <v>0</v>
      </c>
      <c r="G221" s="265">
        <v>0</v>
      </c>
      <c r="H221" s="265">
        <v>0</v>
      </c>
      <c r="I221" s="265">
        <v>0</v>
      </c>
      <c r="J221" s="285">
        <f t="shared" si="59"/>
        <v>2</v>
      </c>
      <c r="K221" s="60">
        <v>0</v>
      </c>
      <c r="L221" s="279">
        <f t="shared" si="60"/>
        <v>0</v>
      </c>
      <c r="M221" s="276"/>
      <c r="N221" s="276"/>
      <c r="O221" s="276"/>
      <c r="P221" s="276"/>
      <c r="Q221" s="276"/>
      <c r="R221" s="276"/>
      <c r="S221" s="276"/>
      <c r="T221" s="276"/>
      <c r="U221" s="276"/>
      <c r="V221" s="276"/>
      <c r="W221" s="276"/>
      <c r="X221" s="276"/>
      <c r="Y221" s="276"/>
      <c r="Z221" s="276"/>
      <c r="AA221" s="276"/>
      <c r="AB221" s="276"/>
      <c r="AC221" s="276"/>
      <c r="AD221" s="276"/>
      <c r="AE221" s="276"/>
      <c r="AF221" s="276"/>
      <c r="AG221" s="276"/>
      <c r="AH221" s="276"/>
      <c r="AI221" s="276"/>
      <c r="AJ221" s="276"/>
      <c r="AK221" s="276"/>
      <c r="AL221" s="276"/>
      <c r="AM221" s="276"/>
      <c r="AN221" s="276"/>
      <c r="AO221" s="276"/>
    </row>
    <row r="222" spans="1:41" s="277" customFormat="1" ht="24.95" customHeight="1">
      <c r="A222" s="265" t="s">
        <v>139</v>
      </c>
      <c r="B222" s="462" t="s">
        <v>132</v>
      </c>
      <c r="C222" s="462"/>
      <c r="D222" s="265" t="s">
        <v>9</v>
      </c>
      <c r="E222" s="265">
        <v>1</v>
      </c>
      <c r="F222" s="265">
        <v>0</v>
      </c>
      <c r="G222" s="265">
        <v>0</v>
      </c>
      <c r="H222" s="265">
        <v>0</v>
      </c>
      <c r="I222" s="265">
        <v>0</v>
      </c>
      <c r="J222" s="285">
        <f t="shared" si="59"/>
        <v>1</v>
      </c>
      <c r="K222" s="60">
        <v>0</v>
      </c>
      <c r="L222" s="279">
        <f t="shared" si="60"/>
        <v>0</v>
      </c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  <c r="AA222" s="276"/>
      <c r="AB222" s="276"/>
      <c r="AC222" s="276"/>
      <c r="AD222" s="276"/>
      <c r="AE222" s="276"/>
      <c r="AF222" s="276"/>
      <c r="AG222" s="276"/>
      <c r="AH222" s="276"/>
      <c r="AI222" s="276"/>
      <c r="AJ222" s="276"/>
      <c r="AK222" s="276"/>
      <c r="AL222" s="276"/>
      <c r="AM222" s="276"/>
      <c r="AN222" s="276"/>
      <c r="AO222" s="276"/>
    </row>
    <row r="223" spans="1:41" s="277" customFormat="1" ht="24.95" customHeight="1">
      <c r="A223" s="265" t="s">
        <v>220</v>
      </c>
      <c r="B223" s="462" t="s">
        <v>218</v>
      </c>
      <c r="C223" s="462"/>
      <c r="D223" s="265" t="s">
        <v>9</v>
      </c>
      <c r="E223" s="265">
        <v>1</v>
      </c>
      <c r="F223" s="265">
        <v>0</v>
      </c>
      <c r="G223" s="265">
        <v>0</v>
      </c>
      <c r="H223" s="265">
        <v>0</v>
      </c>
      <c r="I223" s="265">
        <v>0</v>
      </c>
      <c r="J223" s="285">
        <f t="shared" si="59"/>
        <v>1</v>
      </c>
      <c r="K223" s="60">
        <v>0</v>
      </c>
      <c r="L223" s="279">
        <f t="shared" si="60"/>
        <v>0</v>
      </c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276"/>
      <c r="X223" s="276"/>
      <c r="Y223" s="276"/>
      <c r="Z223" s="276"/>
      <c r="AA223" s="276"/>
      <c r="AB223" s="276"/>
      <c r="AC223" s="276"/>
      <c r="AD223" s="276"/>
      <c r="AE223" s="276"/>
      <c r="AF223" s="276"/>
      <c r="AG223" s="276"/>
      <c r="AH223" s="276"/>
      <c r="AI223" s="276"/>
      <c r="AJ223" s="276"/>
      <c r="AK223" s="276"/>
      <c r="AL223" s="276"/>
      <c r="AM223" s="276"/>
      <c r="AN223" s="276"/>
      <c r="AO223" s="276"/>
    </row>
    <row r="224" spans="1:41" s="277" customFormat="1" ht="24.95" customHeight="1">
      <c r="A224" s="265" t="s">
        <v>27</v>
      </c>
      <c r="B224" s="471" t="s">
        <v>506</v>
      </c>
      <c r="C224" s="471"/>
      <c r="D224" s="265" t="s">
        <v>269</v>
      </c>
      <c r="E224" s="472">
        <v>1</v>
      </c>
      <c r="F224" s="473"/>
      <c r="G224" s="473"/>
      <c r="H224" s="473"/>
      <c r="I224" s="473"/>
      <c r="J224" s="474"/>
      <c r="K224" s="60">
        <v>0</v>
      </c>
      <c r="L224" s="279">
        <f>E224*K224</f>
        <v>0</v>
      </c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  <c r="AG224" s="276"/>
      <c r="AH224" s="276"/>
      <c r="AI224" s="276"/>
      <c r="AJ224" s="276"/>
      <c r="AK224" s="276"/>
      <c r="AL224" s="276"/>
      <c r="AM224" s="276"/>
      <c r="AN224" s="276"/>
      <c r="AO224" s="276"/>
    </row>
    <row r="225" spans="1:41" s="277" customFormat="1" ht="24.95" customHeight="1">
      <c r="A225" s="265"/>
      <c r="B225" s="483" t="s">
        <v>134</v>
      </c>
      <c r="C225" s="483"/>
      <c r="D225" s="281"/>
      <c r="E225" s="281"/>
      <c r="F225" s="281"/>
      <c r="G225" s="281"/>
      <c r="H225" s="281"/>
      <c r="I225" s="281"/>
      <c r="J225" s="282"/>
      <c r="K225" s="283"/>
      <c r="L225" s="284">
        <f>SUM(L217:L224)</f>
        <v>0</v>
      </c>
      <c r="M225" s="276"/>
      <c r="N225" s="276"/>
      <c r="O225" s="276"/>
      <c r="P225" s="276"/>
      <c r="Q225" s="276"/>
      <c r="R225" s="276"/>
      <c r="S225" s="276"/>
      <c r="T225" s="276"/>
      <c r="U225" s="276"/>
      <c r="V225" s="276"/>
      <c r="W225" s="276"/>
      <c r="X225" s="276"/>
      <c r="Y225" s="276"/>
      <c r="Z225" s="276"/>
      <c r="AA225" s="276"/>
      <c r="AB225" s="276"/>
      <c r="AC225" s="276"/>
      <c r="AD225" s="276"/>
      <c r="AE225" s="276"/>
      <c r="AF225" s="276"/>
      <c r="AG225" s="276"/>
      <c r="AH225" s="276"/>
      <c r="AI225" s="276"/>
      <c r="AJ225" s="276"/>
      <c r="AK225" s="276"/>
      <c r="AL225" s="276"/>
      <c r="AM225" s="276"/>
      <c r="AN225" s="276"/>
      <c r="AO225" s="276"/>
    </row>
    <row r="226" spans="1:41" s="277" customFormat="1" ht="24.95" customHeight="1">
      <c r="A226" s="265"/>
      <c r="B226" s="477" t="s">
        <v>407</v>
      </c>
      <c r="C226" s="477"/>
      <c r="D226" s="477"/>
      <c r="E226" s="477"/>
      <c r="F226" s="477"/>
      <c r="G226" s="477"/>
      <c r="H226" s="477"/>
      <c r="I226" s="477"/>
      <c r="J226" s="477"/>
      <c r="K226" s="477"/>
      <c r="L226" s="477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276"/>
      <c r="X226" s="276"/>
      <c r="Y226" s="276"/>
      <c r="Z226" s="276"/>
      <c r="AA226" s="276"/>
      <c r="AB226" s="276"/>
      <c r="AC226" s="276"/>
      <c r="AD226" s="276"/>
      <c r="AE226" s="276"/>
      <c r="AF226" s="276"/>
      <c r="AG226" s="276"/>
      <c r="AH226" s="276"/>
      <c r="AI226" s="276"/>
      <c r="AJ226" s="276"/>
      <c r="AK226" s="276"/>
      <c r="AL226" s="276"/>
      <c r="AM226" s="276"/>
      <c r="AN226" s="276"/>
      <c r="AO226" s="276"/>
    </row>
    <row r="227" spans="1:41" s="277" customFormat="1" ht="24.95" customHeight="1">
      <c r="A227" s="265" t="s">
        <v>27</v>
      </c>
      <c r="B227" s="462" t="s">
        <v>407</v>
      </c>
      <c r="C227" s="462"/>
      <c r="D227" s="265" t="s">
        <v>9</v>
      </c>
      <c r="E227" s="265">
        <v>0</v>
      </c>
      <c r="F227" s="265">
        <v>0</v>
      </c>
      <c r="G227" s="265">
        <v>0</v>
      </c>
      <c r="H227" s="265">
        <v>0</v>
      </c>
      <c r="I227" s="265">
        <v>1</v>
      </c>
      <c r="J227" s="285">
        <f>SUM(E227:I227)</f>
        <v>1</v>
      </c>
      <c r="K227" s="60">
        <v>0</v>
      </c>
      <c r="L227" s="279">
        <f>J227*K227</f>
        <v>0</v>
      </c>
      <c r="M227" s="276"/>
      <c r="N227" s="276"/>
      <c r="O227" s="276"/>
      <c r="P227" s="276"/>
      <c r="Q227" s="276"/>
      <c r="R227" s="276"/>
      <c r="S227" s="276"/>
      <c r="T227" s="276"/>
      <c r="U227" s="276"/>
      <c r="V227" s="276"/>
      <c r="W227" s="276"/>
      <c r="X227" s="276"/>
      <c r="Y227" s="276"/>
      <c r="Z227" s="276"/>
      <c r="AA227" s="276"/>
      <c r="AB227" s="276"/>
      <c r="AC227" s="276"/>
      <c r="AD227" s="276"/>
      <c r="AE227" s="276"/>
      <c r="AF227" s="276"/>
      <c r="AG227" s="276"/>
      <c r="AH227" s="276"/>
      <c r="AI227" s="276"/>
      <c r="AJ227" s="276"/>
      <c r="AK227" s="276"/>
      <c r="AL227" s="276"/>
      <c r="AM227" s="276"/>
      <c r="AN227" s="276"/>
      <c r="AO227" s="276"/>
    </row>
    <row r="228" spans="1:41" s="277" customFormat="1" ht="24.95" customHeight="1">
      <c r="A228" s="265" t="s">
        <v>27</v>
      </c>
      <c r="B228" s="471" t="s">
        <v>506</v>
      </c>
      <c r="C228" s="471"/>
      <c r="D228" s="265" t="s">
        <v>269</v>
      </c>
      <c r="E228" s="472">
        <v>1</v>
      </c>
      <c r="F228" s="473"/>
      <c r="G228" s="473"/>
      <c r="H228" s="473"/>
      <c r="I228" s="473"/>
      <c r="J228" s="474"/>
      <c r="K228" s="60">
        <v>0</v>
      </c>
      <c r="L228" s="279">
        <f>E228*K228</f>
        <v>0</v>
      </c>
      <c r="M228" s="276"/>
      <c r="N228" s="276"/>
      <c r="O228" s="276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276"/>
      <c r="AA228" s="276"/>
      <c r="AB228" s="276"/>
      <c r="AC228" s="276"/>
      <c r="AD228" s="276"/>
      <c r="AE228" s="276"/>
      <c r="AF228" s="276"/>
      <c r="AG228" s="276"/>
      <c r="AH228" s="276"/>
      <c r="AI228" s="276"/>
      <c r="AJ228" s="276"/>
      <c r="AK228" s="276"/>
      <c r="AL228" s="276"/>
      <c r="AM228" s="276"/>
      <c r="AN228" s="276"/>
      <c r="AO228" s="276"/>
    </row>
    <row r="229" spans="1:41" s="277" customFormat="1" ht="24.95" customHeight="1">
      <c r="A229" s="265"/>
      <c r="B229" s="482" t="s">
        <v>408</v>
      </c>
      <c r="C229" s="482"/>
      <c r="D229" s="281"/>
      <c r="E229" s="281"/>
      <c r="F229" s="281"/>
      <c r="G229" s="281"/>
      <c r="H229" s="281"/>
      <c r="I229" s="281"/>
      <c r="J229" s="282"/>
      <c r="K229" s="283"/>
      <c r="L229" s="284">
        <f>SUM(L227:L228)</f>
        <v>0</v>
      </c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</row>
    <row r="230" spans="1:41" s="259" customFormat="1" ht="36" customHeight="1">
      <c r="A230" s="286"/>
      <c r="B230" s="521" t="s">
        <v>496</v>
      </c>
      <c r="C230" s="521"/>
      <c r="D230" s="521"/>
      <c r="E230" s="521"/>
      <c r="F230" s="521"/>
      <c r="G230" s="521"/>
      <c r="H230" s="521"/>
      <c r="I230" s="521"/>
      <c r="J230" s="521"/>
      <c r="K230" s="521"/>
      <c r="L230" s="287">
        <f>SUM(L229,L225)</f>
        <v>0</v>
      </c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258"/>
      <c r="Z230" s="258"/>
      <c r="AA230" s="258"/>
      <c r="AB230" s="258"/>
      <c r="AC230" s="258"/>
      <c r="AD230" s="258"/>
      <c r="AE230" s="258"/>
      <c r="AF230" s="258"/>
      <c r="AG230" s="258"/>
      <c r="AH230" s="258"/>
      <c r="AI230" s="258"/>
      <c r="AJ230" s="258"/>
      <c r="AK230" s="258"/>
      <c r="AL230" s="258"/>
      <c r="AM230" s="258"/>
      <c r="AN230" s="258"/>
      <c r="AO230" s="258"/>
    </row>
    <row r="231" spans="1:41" s="257" customFormat="1" ht="37.5" customHeight="1">
      <c r="A231" s="255"/>
      <c r="B231" s="518" t="s">
        <v>485</v>
      </c>
      <c r="C231" s="519"/>
      <c r="D231" s="519"/>
      <c r="E231" s="519"/>
      <c r="F231" s="519"/>
      <c r="G231" s="519"/>
      <c r="H231" s="519"/>
      <c r="I231" s="519"/>
      <c r="J231" s="519"/>
      <c r="K231" s="519"/>
      <c r="L231" s="520"/>
      <c r="M231" s="256"/>
      <c r="N231" s="256"/>
      <c r="O231" s="256"/>
      <c r="P231" s="256"/>
      <c r="Q231" s="256"/>
      <c r="R231" s="256"/>
      <c r="S231" s="256"/>
      <c r="T231" s="256"/>
      <c r="U231" s="256"/>
      <c r="V231" s="256"/>
      <c r="W231" s="256"/>
      <c r="X231" s="256"/>
      <c r="Y231" s="256"/>
      <c r="Z231" s="256"/>
      <c r="AA231" s="256"/>
      <c r="AB231" s="256"/>
      <c r="AC231" s="256"/>
      <c r="AD231" s="256"/>
      <c r="AE231" s="256"/>
      <c r="AF231" s="256"/>
      <c r="AG231" s="256"/>
      <c r="AH231" s="256"/>
      <c r="AI231" s="256"/>
      <c r="AJ231" s="256"/>
      <c r="AK231" s="256"/>
      <c r="AL231" s="256"/>
      <c r="AM231" s="256"/>
      <c r="AN231" s="256"/>
      <c r="AO231" s="256"/>
    </row>
    <row r="232" spans="1:41" s="31" customFormat="1" ht="24.95" customHeight="1">
      <c r="A232" s="396"/>
      <c r="B232" s="397" t="s">
        <v>7</v>
      </c>
      <c r="C232" s="397"/>
      <c r="D232" s="397" t="s">
        <v>221</v>
      </c>
      <c r="E232" s="398" t="s">
        <v>115</v>
      </c>
      <c r="F232" s="398"/>
      <c r="G232" s="398"/>
      <c r="H232" s="398"/>
      <c r="I232" s="398"/>
      <c r="J232" s="398"/>
      <c r="K232" s="399" t="s">
        <v>4</v>
      </c>
      <c r="L232" s="400" t="s">
        <v>116</v>
      </c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</row>
    <row r="233" spans="1:41" s="6" customFormat="1" ht="24.95" customHeight="1">
      <c r="A233" s="396"/>
      <c r="B233" s="397"/>
      <c r="C233" s="397"/>
      <c r="D233" s="397"/>
      <c r="E233" s="267" t="s">
        <v>276</v>
      </c>
      <c r="F233" s="267" t="s">
        <v>277</v>
      </c>
      <c r="G233" s="267" t="s">
        <v>383</v>
      </c>
      <c r="H233" s="267" t="s">
        <v>384</v>
      </c>
      <c r="I233" s="267" t="s">
        <v>385</v>
      </c>
      <c r="J233" s="270" t="s">
        <v>8</v>
      </c>
      <c r="K233" s="399"/>
      <c r="L233" s="400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</row>
    <row r="234" spans="1:12" ht="24.95" customHeight="1">
      <c r="A234" s="11"/>
      <c r="B234" s="418" t="s">
        <v>16</v>
      </c>
      <c r="C234" s="418"/>
      <c r="D234" s="418"/>
      <c r="E234" s="418"/>
      <c r="F234" s="418"/>
      <c r="G234" s="418"/>
      <c r="H234" s="418"/>
      <c r="I234" s="418"/>
      <c r="J234" s="418"/>
      <c r="K234" s="418"/>
      <c r="L234" s="418"/>
    </row>
    <row r="235" spans="1:41" s="30" customFormat="1" ht="24.75" customHeight="1">
      <c r="A235" s="29" t="s">
        <v>27</v>
      </c>
      <c r="B235" s="394" t="s">
        <v>206</v>
      </c>
      <c r="C235" s="394"/>
      <c r="D235" s="28" t="s">
        <v>14</v>
      </c>
      <c r="E235" s="311">
        <v>191</v>
      </c>
      <c r="F235" s="264">
        <v>0</v>
      </c>
      <c r="G235" s="264">
        <v>110</v>
      </c>
      <c r="H235" s="264">
        <f>SUM(H236:H237)</f>
        <v>1058.6</v>
      </c>
      <c r="I235" s="264">
        <v>0</v>
      </c>
      <c r="J235" s="338">
        <f aca="true" t="shared" si="61" ref="J235:J246">SUM(E235:I235)</f>
        <v>1359.6</v>
      </c>
      <c r="K235" s="60">
        <v>0</v>
      </c>
      <c r="L235" s="117">
        <f>K235*J235</f>
        <v>0</v>
      </c>
      <c r="M235" s="136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</row>
    <row r="236" spans="1:41" s="30" customFormat="1" ht="24.95" customHeight="1">
      <c r="A236" s="28" t="s">
        <v>55</v>
      </c>
      <c r="B236" s="476" t="s">
        <v>32</v>
      </c>
      <c r="C236" s="481"/>
      <c r="D236" s="28" t="s">
        <v>14</v>
      </c>
      <c r="E236" s="264">
        <v>91</v>
      </c>
      <c r="F236" s="264">
        <v>0</v>
      </c>
      <c r="G236" s="264">
        <v>0</v>
      </c>
      <c r="H236" s="264">
        <f>29</f>
        <v>29</v>
      </c>
      <c r="I236" s="264">
        <v>0</v>
      </c>
      <c r="J236" s="338">
        <f t="shared" si="61"/>
        <v>120</v>
      </c>
      <c r="K236" s="60">
        <v>0</v>
      </c>
      <c r="L236" s="117">
        <f aca="true" t="shared" si="62" ref="L236:L246">K236*J236</f>
        <v>0</v>
      </c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</row>
    <row r="237" spans="1:41" s="30" customFormat="1" ht="24.95" customHeight="1">
      <c r="A237" s="28" t="s">
        <v>141</v>
      </c>
      <c r="B237" s="476" t="s">
        <v>90</v>
      </c>
      <c r="C237" s="481"/>
      <c r="D237" s="28" t="s">
        <v>14</v>
      </c>
      <c r="E237" s="264">
        <v>100</v>
      </c>
      <c r="F237" s="264">
        <v>0</v>
      </c>
      <c r="G237" s="264">
        <v>110</v>
      </c>
      <c r="H237" s="264">
        <f>858*1.2</f>
        <v>1029.6</v>
      </c>
      <c r="I237" s="264">
        <v>0</v>
      </c>
      <c r="J237" s="338">
        <f t="shared" si="61"/>
        <v>1239.6</v>
      </c>
      <c r="K237" s="60">
        <v>0</v>
      </c>
      <c r="L237" s="117">
        <f t="shared" si="62"/>
        <v>0</v>
      </c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</row>
    <row r="238" spans="1:41" s="30" customFormat="1" ht="24.95" customHeight="1">
      <c r="A238" s="28" t="s">
        <v>28</v>
      </c>
      <c r="B238" s="480" t="s">
        <v>165</v>
      </c>
      <c r="C238" s="476"/>
      <c r="D238" s="28" t="s">
        <v>50</v>
      </c>
      <c r="E238" s="312">
        <f aca="true" t="shared" si="63" ref="E238:H238">SUM(E236*0.0008+E237*0.0008)</f>
        <v>0.1528</v>
      </c>
      <c r="F238" s="312">
        <f t="shared" si="63"/>
        <v>0</v>
      </c>
      <c r="G238" s="312">
        <f t="shared" si="63"/>
        <v>0.08800000000000001</v>
      </c>
      <c r="H238" s="312">
        <f t="shared" si="63"/>
        <v>0.84688</v>
      </c>
      <c r="I238" s="264">
        <v>0</v>
      </c>
      <c r="J238" s="338">
        <f t="shared" si="61"/>
        <v>1.08768</v>
      </c>
      <c r="K238" s="60">
        <v>0</v>
      </c>
      <c r="L238" s="117">
        <f t="shared" si="62"/>
        <v>0</v>
      </c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</row>
    <row r="239" spans="1:41" s="30" customFormat="1" ht="24.95" customHeight="1">
      <c r="A239" s="28" t="s">
        <v>70</v>
      </c>
      <c r="B239" s="476" t="s">
        <v>100</v>
      </c>
      <c r="C239" s="476"/>
      <c r="D239" s="28" t="s">
        <v>14</v>
      </c>
      <c r="E239" s="269">
        <f aca="true" t="shared" si="64" ref="E239:G239">SUM(E236)</f>
        <v>91</v>
      </c>
      <c r="F239" s="269">
        <f t="shared" si="64"/>
        <v>0</v>
      </c>
      <c r="G239" s="269">
        <f t="shared" si="64"/>
        <v>0</v>
      </c>
      <c r="H239" s="269">
        <f aca="true" t="shared" si="65" ref="H239">SUM(H236)</f>
        <v>29</v>
      </c>
      <c r="I239" s="264">
        <v>0</v>
      </c>
      <c r="J239" s="338">
        <f t="shared" si="61"/>
        <v>120</v>
      </c>
      <c r="K239" s="60">
        <v>0</v>
      </c>
      <c r="L239" s="117">
        <f t="shared" si="62"/>
        <v>0</v>
      </c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</row>
    <row r="240" spans="1:41" s="30" customFormat="1" ht="24.95" customHeight="1">
      <c r="A240" s="28" t="s">
        <v>98</v>
      </c>
      <c r="B240" s="476" t="s">
        <v>99</v>
      </c>
      <c r="C240" s="476"/>
      <c r="D240" s="28" t="s">
        <v>14</v>
      </c>
      <c r="E240" s="269">
        <f aca="true" t="shared" si="66" ref="E240:F240">SUM(E237)</f>
        <v>100</v>
      </c>
      <c r="F240" s="269">
        <f t="shared" si="66"/>
        <v>0</v>
      </c>
      <c r="G240" s="269">
        <v>110</v>
      </c>
      <c r="H240" s="269">
        <v>1029.6</v>
      </c>
      <c r="I240" s="264">
        <v>0</v>
      </c>
      <c r="J240" s="338">
        <f t="shared" si="61"/>
        <v>1239.6</v>
      </c>
      <c r="K240" s="60">
        <v>0</v>
      </c>
      <c r="L240" s="117">
        <f t="shared" si="62"/>
        <v>0</v>
      </c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</row>
    <row r="241" spans="1:41" s="30" customFormat="1" ht="33.75" customHeight="1">
      <c r="A241" s="47" t="s">
        <v>27</v>
      </c>
      <c r="B241" s="480" t="s">
        <v>355</v>
      </c>
      <c r="C241" s="480"/>
      <c r="D241" s="28" t="s">
        <v>14</v>
      </c>
      <c r="E241" s="269">
        <f>E239+E240</f>
        <v>191</v>
      </c>
      <c r="F241" s="269">
        <f aca="true" t="shared" si="67" ref="F241:G241">F239+F240</f>
        <v>0</v>
      </c>
      <c r="G241" s="269">
        <f t="shared" si="67"/>
        <v>110</v>
      </c>
      <c r="H241" s="269">
        <f aca="true" t="shared" si="68" ref="H241">H239+H240</f>
        <v>1058.6</v>
      </c>
      <c r="I241" s="264">
        <v>0</v>
      </c>
      <c r="J241" s="338">
        <f t="shared" si="61"/>
        <v>1359.6</v>
      </c>
      <c r="K241" s="60">
        <v>0</v>
      </c>
      <c r="L241" s="117">
        <f t="shared" si="62"/>
        <v>0</v>
      </c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</row>
    <row r="242" spans="1:41" s="92" customFormat="1" ht="24.95" customHeight="1">
      <c r="A242" s="47" t="s">
        <v>28</v>
      </c>
      <c r="B242" s="478" t="s">
        <v>377</v>
      </c>
      <c r="C242" s="478"/>
      <c r="D242" s="46" t="s">
        <v>15</v>
      </c>
      <c r="E242" s="314">
        <f>335*0.15*1.3</f>
        <v>65.325</v>
      </c>
      <c r="F242" s="313">
        <v>0</v>
      </c>
      <c r="G242" s="313">
        <v>0</v>
      </c>
      <c r="H242" s="313">
        <v>0</v>
      </c>
      <c r="I242" s="264">
        <v>0</v>
      </c>
      <c r="J242" s="339">
        <f t="shared" si="61"/>
        <v>65.325</v>
      </c>
      <c r="K242" s="60">
        <v>0</v>
      </c>
      <c r="L242" s="118">
        <f aca="true" t="shared" si="69" ref="L242">K242*J242</f>
        <v>0</v>
      </c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</row>
    <row r="243" spans="1:41" s="74" customFormat="1" ht="24.95" customHeight="1">
      <c r="A243" s="47" t="s">
        <v>27</v>
      </c>
      <c r="B243" s="500" t="s">
        <v>94</v>
      </c>
      <c r="C243" s="500"/>
      <c r="D243" s="93" t="s">
        <v>15</v>
      </c>
      <c r="E243" s="314">
        <f>E242</f>
        <v>65.325</v>
      </c>
      <c r="F243" s="313">
        <v>0</v>
      </c>
      <c r="G243" s="313">
        <v>0</v>
      </c>
      <c r="H243" s="313">
        <v>0</v>
      </c>
      <c r="I243" s="264">
        <v>0</v>
      </c>
      <c r="J243" s="339">
        <f t="shared" si="61"/>
        <v>65.325</v>
      </c>
      <c r="K243" s="60">
        <v>0</v>
      </c>
      <c r="L243" s="118">
        <f aca="true" t="shared" si="70" ref="L243:L245">K243*J243</f>
        <v>0</v>
      </c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</row>
    <row r="244" spans="1:41" s="74" customFormat="1" ht="24.95" customHeight="1">
      <c r="A244" s="49" t="s">
        <v>378</v>
      </c>
      <c r="B244" s="511" t="s">
        <v>379</v>
      </c>
      <c r="C244" s="512"/>
      <c r="D244" s="46" t="s">
        <v>14</v>
      </c>
      <c r="E244" s="313">
        <v>335</v>
      </c>
      <c r="F244" s="313">
        <v>0</v>
      </c>
      <c r="G244" s="313">
        <v>0</v>
      </c>
      <c r="H244" s="313">
        <v>0</v>
      </c>
      <c r="I244" s="264">
        <v>0</v>
      </c>
      <c r="J244" s="339">
        <f t="shared" si="61"/>
        <v>335</v>
      </c>
      <c r="K244" s="60">
        <v>0</v>
      </c>
      <c r="L244" s="118">
        <f aca="true" t="shared" si="71" ref="L244">K244*J244</f>
        <v>0</v>
      </c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</row>
    <row r="245" spans="1:41" s="74" customFormat="1" ht="24.95" customHeight="1">
      <c r="A245" s="47" t="s">
        <v>33</v>
      </c>
      <c r="B245" s="450" t="s">
        <v>71</v>
      </c>
      <c r="C245" s="450"/>
      <c r="D245" s="47" t="s">
        <v>14</v>
      </c>
      <c r="E245" s="313">
        <v>335</v>
      </c>
      <c r="F245" s="313">
        <v>0</v>
      </c>
      <c r="G245" s="313">
        <v>0</v>
      </c>
      <c r="H245" s="313">
        <v>0</v>
      </c>
      <c r="I245" s="264">
        <v>0</v>
      </c>
      <c r="J245" s="339">
        <f t="shared" si="61"/>
        <v>335</v>
      </c>
      <c r="K245" s="60">
        <v>0</v>
      </c>
      <c r="L245" s="118">
        <f t="shared" si="70"/>
        <v>0</v>
      </c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</row>
    <row r="246" spans="1:41" s="74" customFormat="1" ht="24.95" customHeight="1">
      <c r="A246" s="73" t="s">
        <v>27</v>
      </c>
      <c r="B246" s="449" t="s">
        <v>507</v>
      </c>
      <c r="C246" s="450"/>
      <c r="D246" s="73" t="s">
        <v>23</v>
      </c>
      <c r="E246" s="315">
        <f>E235*0.001</f>
        <v>0.191</v>
      </c>
      <c r="F246" s="315">
        <f>F235*0.001</f>
        <v>0</v>
      </c>
      <c r="G246" s="315">
        <f>G235*0.001</f>
        <v>0.11</v>
      </c>
      <c r="H246" s="315">
        <f>H235*0.001</f>
        <v>1.0586</v>
      </c>
      <c r="I246" s="264">
        <v>0</v>
      </c>
      <c r="J246" s="338">
        <f t="shared" si="61"/>
        <v>1.3596</v>
      </c>
      <c r="K246" s="60">
        <v>0</v>
      </c>
      <c r="L246" s="118">
        <f t="shared" si="62"/>
        <v>0</v>
      </c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</row>
    <row r="247" spans="1:12" ht="24.95" customHeight="1">
      <c r="A247" s="11"/>
      <c r="B247" s="426" t="s">
        <v>17</v>
      </c>
      <c r="C247" s="426"/>
      <c r="D247" s="57"/>
      <c r="E247" s="240"/>
      <c r="F247" s="240"/>
      <c r="G247" s="240"/>
      <c r="H247" s="240"/>
      <c r="I247" s="240"/>
      <c r="J247" s="241"/>
      <c r="K247" s="119"/>
      <c r="L247" s="104">
        <f>SUM(L235:L246)</f>
        <v>0</v>
      </c>
    </row>
    <row r="248" spans="1:12" ht="24.95" customHeight="1">
      <c r="A248" s="11"/>
      <c r="B248" s="418" t="s">
        <v>409</v>
      </c>
      <c r="C248" s="418"/>
      <c r="D248" s="418"/>
      <c r="E248" s="418"/>
      <c r="F248" s="418"/>
      <c r="G248" s="418"/>
      <c r="H248" s="418"/>
      <c r="I248" s="418"/>
      <c r="J248" s="418"/>
      <c r="K248" s="418"/>
      <c r="L248" s="418"/>
    </row>
    <row r="249" spans="1:41" s="30" customFormat="1" ht="24.75" customHeight="1">
      <c r="A249" s="29" t="s">
        <v>27</v>
      </c>
      <c r="B249" s="393" t="s">
        <v>412</v>
      </c>
      <c r="C249" s="394"/>
      <c r="D249" s="120" t="s">
        <v>411</v>
      </c>
      <c r="E249" s="316">
        <v>0</v>
      </c>
      <c r="F249" s="316">
        <v>0</v>
      </c>
      <c r="G249" s="264">
        <v>22</v>
      </c>
      <c r="H249" s="264">
        <v>3</v>
      </c>
      <c r="I249" s="316">
        <v>0</v>
      </c>
      <c r="J249" s="338">
        <f>SUM(E249:I249)</f>
        <v>25</v>
      </c>
      <c r="K249" s="60">
        <v>0</v>
      </c>
      <c r="L249" s="117">
        <f>K249*J249</f>
        <v>0</v>
      </c>
      <c r="M249" s="136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</row>
    <row r="250" spans="1:41" s="30" customFormat="1" ht="24.75" customHeight="1">
      <c r="A250" s="29" t="s">
        <v>27</v>
      </c>
      <c r="B250" s="393" t="s">
        <v>413</v>
      </c>
      <c r="C250" s="394"/>
      <c r="D250" s="25" t="s">
        <v>15</v>
      </c>
      <c r="E250" s="316">
        <v>0</v>
      </c>
      <c r="F250" s="316">
        <v>0</v>
      </c>
      <c r="G250" s="320">
        <f>25*1.2</f>
        <v>30</v>
      </c>
      <c r="H250" s="320">
        <v>0</v>
      </c>
      <c r="I250" s="316">
        <v>0</v>
      </c>
      <c r="J250" s="338">
        <f>SUM(E250:I250)</f>
        <v>30</v>
      </c>
      <c r="K250" s="60">
        <v>0</v>
      </c>
      <c r="L250" s="117">
        <f aca="true" t="shared" si="72" ref="L250:L252">K250*J250</f>
        <v>0</v>
      </c>
      <c r="M250" s="136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</row>
    <row r="251" spans="1:41" s="30" customFormat="1" ht="24.75" customHeight="1">
      <c r="A251" s="29" t="s">
        <v>27</v>
      </c>
      <c r="B251" s="393" t="s">
        <v>414</v>
      </c>
      <c r="C251" s="394"/>
      <c r="D251" s="25" t="s">
        <v>23</v>
      </c>
      <c r="E251" s="316">
        <v>0</v>
      </c>
      <c r="F251" s="316">
        <v>0</v>
      </c>
      <c r="G251" s="320">
        <f>G250*1.8</f>
        <v>54</v>
      </c>
      <c r="H251" s="320">
        <v>0</v>
      </c>
      <c r="I251" s="316">
        <v>0</v>
      </c>
      <c r="J251" s="338">
        <f>SUM(E251:I251)</f>
        <v>54</v>
      </c>
      <c r="K251" s="60">
        <v>0</v>
      </c>
      <c r="L251" s="117">
        <f t="shared" si="72"/>
        <v>0</v>
      </c>
      <c r="M251" s="136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</row>
    <row r="252" spans="1:41" s="30" customFormat="1" ht="24.75" customHeight="1">
      <c r="A252" s="29" t="s">
        <v>27</v>
      </c>
      <c r="B252" s="393" t="s">
        <v>508</v>
      </c>
      <c r="C252" s="394"/>
      <c r="D252" s="25" t="s">
        <v>23</v>
      </c>
      <c r="E252" s="316">
        <v>0</v>
      </c>
      <c r="F252" s="316">
        <v>0</v>
      </c>
      <c r="G252" s="320">
        <f>G251</f>
        <v>54</v>
      </c>
      <c r="H252" s="320">
        <v>0</v>
      </c>
      <c r="I252" s="316">
        <v>0</v>
      </c>
      <c r="J252" s="338">
        <f>SUM(E252:I252)</f>
        <v>54</v>
      </c>
      <c r="K252" s="60">
        <v>0</v>
      </c>
      <c r="L252" s="117">
        <f t="shared" si="72"/>
        <v>0</v>
      </c>
      <c r="M252" s="136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</row>
    <row r="253" spans="1:12" ht="24.95" customHeight="1">
      <c r="A253" s="11"/>
      <c r="B253" s="426" t="s">
        <v>410</v>
      </c>
      <c r="C253" s="426"/>
      <c r="D253" s="57"/>
      <c r="E253" s="240"/>
      <c r="F253" s="240"/>
      <c r="G253" s="240"/>
      <c r="H253" s="240"/>
      <c r="I253" s="240"/>
      <c r="J253" s="241"/>
      <c r="K253" s="119"/>
      <c r="L253" s="104">
        <f>SUM(L249:L252)</f>
        <v>0</v>
      </c>
    </row>
    <row r="254" spans="1:41" s="31" customFormat="1" ht="24.95" customHeight="1">
      <c r="A254" s="396"/>
      <c r="B254" s="397" t="s">
        <v>7</v>
      </c>
      <c r="C254" s="397"/>
      <c r="D254" s="397" t="s">
        <v>221</v>
      </c>
      <c r="E254" s="398" t="s">
        <v>115</v>
      </c>
      <c r="F254" s="398"/>
      <c r="G254" s="398"/>
      <c r="H254" s="398"/>
      <c r="I254" s="398"/>
      <c r="J254" s="398"/>
      <c r="K254" s="399" t="s">
        <v>4</v>
      </c>
      <c r="L254" s="400" t="s">
        <v>116</v>
      </c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</row>
    <row r="255" spans="1:41" s="6" customFormat="1" ht="24.95" customHeight="1">
      <c r="A255" s="396"/>
      <c r="B255" s="397"/>
      <c r="C255" s="397"/>
      <c r="D255" s="397"/>
      <c r="E255" s="267" t="s">
        <v>276</v>
      </c>
      <c r="F255" s="267" t="s">
        <v>277</v>
      </c>
      <c r="G255" s="267" t="s">
        <v>383</v>
      </c>
      <c r="H255" s="267" t="s">
        <v>384</v>
      </c>
      <c r="I255" s="267" t="s">
        <v>385</v>
      </c>
      <c r="J255" s="270" t="s">
        <v>8</v>
      </c>
      <c r="K255" s="399"/>
      <c r="L255" s="400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</row>
    <row r="256" spans="1:12" ht="24.95" customHeight="1">
      <c r="A256" s="10"/>
      <c r="B256" s="418" t="s">
        <v>63</v>
      </c>
      <c r="C256" s="418"/>
      <c r="D256" s="418"/>
      <c r="E256" s="418"/>
      <c r="F256" s="418"/>
      <c r="G256" s="418"/>
      <c r="H256" s="418"/>
      <c r="I256" s="418"/>
      <c r="J256" s="418"/>
      <c r="K256" s="418"/>
      <c r="L256" s="418"/>
    </row>
    <row r="257" spans="1:12" ht="24.95" customHeight="1">
      <c r="A257" s="35" t="s">
        <v>27</v>
      </c>
      <c r="B257" s="420" t="s">
        <v>197</v>
      </c>
      <c r="C257" s="420"/>
      <c r="D257" s="121" t="s">
        <v>9</v>
      </c>
      <c r="E257" s="316">
        <f>E101+E114+E120+E128</f>
        <v>611</v>
      </c>
      <c r="F257" s="316">
        <f>F101+F114+F120+F128</f>
        <v>0</v>
      </c>
      <c r="G257" s="316">
        <f>G101+G114+G120+G128</f>
        <v>268</v>
      </c>
      <c r="H257" s="316">
        <f>H101+H114+H120+H128</f>
        <v>2522</v>
      </c>
      <c r="I257" s="316">
        <f>I101+I114+I120+I128</f>
        <v>0</v>
      </c>
      <c r="J257" s="338">
        <f aca="true" t="shared" si="73" ref="J257:J284">SUM(E257:I257)</f>
        <v>3401</v>
      </c>
      <c r="K257" s="60">
        <v>0</v>
      </c>
      <c r="L257" s="62">
        <f>K257*J257</f>
        <v>0</v>
      </c>
    </row>
    <row r="258" spans="1:12" ht="24.95" customHeight="1">
      <c r="A258" s="10" t="s">
        <v>140</v>
      </c>
      <c r="B258" s="407" t="s">
        <v>80</v>
      </c>
      <c r="C258" s="407"/>
      <c r="D258" s="11" t="s">
        <v>9</v>
      </c>
      <c r="E258" s="278">
        <f>E101</f>
        <v>228</v>
      </c>
      <c r="F258" s="278">
        <f>F101</f>
        <v>0</v>
      </c>
      <c r="G258" s="278">
        <v>0</v>
      </c>
      <c r="H258" s="278">
        <f>H101</f>
        <v>210</v>
      </c>
      <c r="I258" s="278">
        <f>I101</f>
        <v>0</v>
      </c>
      <c r="J258" s="338">
        <f t="shared" si="73"/>
        <v>438</v>
      </c>
      <c r="K258" s="60">
        <v>0</v>
      </c>
      <c r="L258" s="62">
        <f aca="true" t="shared" si="74" ref="L258:L274">K258*J258</f>
        <v>0</v>
      </c>
    </row>
    <row r="259" spans="1:12" ht="24.95" customHeight="1">
      <c r="A259" s="10" t="s">
        <v>51</v>
      </c>
      <c r="B259" s="407" t="s">
        <v>52</v>
      </c>
      <c r="C259" s="407"/>
      <c r="D259" s="11" t="s">
        <v>9</v>
      </c>
      <c r="E259" s="278">
        <f>E120</f>
        <v>19</v>
      </c>
      <c r="F259" s="278">
        <f>F120</f>
        <v>0</v>
      </c>
      <c r="G259" s="278">
        <v>0</v>
      </c>
      <c r="H259" s="278">
        <f>H120</f>
        <v>3</v>
      </c>
      <c r="I259" s="278">
        <f>I120</f>
        <v>0</v>
      </c>
      <c r="J259" s="338">
        <f t="shared" si="73"/>
        <v>22</v>
      </c>
      <c r="K259" s="60">
        <v>0</v>
      </c>
      <c r="L259" s="62">
        <f t="shared" si="74"/>
        <v>0</v>
      </c>
    </row>
    <row r="260" spans="1:41" s="24" customFormat="1" ht="24.95" customHeight="1">
      <c r="A260" s="16" t="s">
        <v>247</v>
      </c>
      <c r="B260" s="417" t="s">
        <v>83</v>
      </c>
      <c r="C260" s="417"/>
      <c r="D260" s="10" t="s">
        <v>9</v>
      </c>
      <c r="E260" s="278">
        <f>E114</f>
        <v>325</v>
      </c>
      <c r="F260" s="278">
        <f>F114</f>
        <v>0</v>
      </c>
      <c r="G260" s="278">
        <f>G114</f>
        <v>0</v>
      </c>
      <c r="H260" s="278">
        <f>H114</f>
        <v>2264</v>
      </c>
      <c r="I260" s="278">
        <f>I114</f>
        <v>0</v>
      </c>
      <c r="J260" s="338">
        <f t="shared" si="73"/>
        <v>2589</v>
      </c>
      <c r="K260" s="60">
        <v>0</v>
      </c>
      <c r="L260" s="62">
        <f t="shared" si="74"/>
        <v>0</v>
      </c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</row>
    <row r="261" spans="1:12" ht="24.95" customHeight="1">
      <c r="A261" s="10" t="s">
        <v>109</v>
      </c>
      <c r="B261" s="417" t="s">
        <v>107</v>
      </c>
      <c r="C261" s="417"/>
      <c r="D261" s="10" t="s">
        <v>9</v>
      </c>
      <c r="E261" s="278">
        <f>E128</f>
        <v>39</v>
      </c>
      <c r="F261" s="278">
        <f>F128</f>
        <v>0</v>
      </c>
      <c r="G261" s="278">
        <f>G128</f>
        <v>0</v>
      </c>
      <c r="H261" s="278">
        <f>H128</f>
        <v>45</v>
      </c>
      <c r="I261" s="278">
        <f>I128</f>
        <v>0</v>
      </c>
      <c r="J261" s="338">
        <f t="shared" si="73"/>
        <v>84</v>
      </c>
      <c r="K261" s="60">
        <v>0</v>
      </c>
      <c r="L261" s="62">
        <f t="shared" si="74"/>
        <v>0</v>
      </c>
    </row>
    <row r="262" spans="1:12" ht="24.95" customHeight="1">
      <c r="A262" s="10" t="s">
        <v>81</v>
      </c>
      <c r="B262" s="417" t="s">
        <v>82</v>
      </c>
      <c r="C262" s="417"/>
      <c r="D262" s="10" t="s">
        <v>9</v>
      </c>
      <c r="E262" s="265">
        <f aca="true" t="shared" si="75" ref="E262:F262">SUM(E258)</f>
        <v>228</v>
      </c>
      <c r="F262" s="265">
        <f t="shared" si="75"/>
        <v>0</v>
      </c>
      <c r="G262" s="265">
        <f aca="true" t="shared" si="76" ref="G262:I262">SUM(G258)</f>
        <v>0</v>
      </c>
      <c r="H262" s="265">
        <f t="shared" si="76"/>
        <v>210</v>
      </c>
      <c r="I262" s="265">
        <f t="shared" si="76"/>
        <v>0</v>
      </c>
      <c r="J262" s="338">
        <f t="shared" si="73"/>
        <v>438</v>
      </c>
      <c r="K262" s="60">
        <v>0</v>
      </c>
      <c r="L262" s="62">
        <f t="shared" si="74"/>
        <v>0</v>
      </c>
    </row>
    <row r="263" spans="1:12" ht="24.95" customHeight="1">
      <c r="A263" s="10" t="s">
        <v>67</v>
      </c>
      <c r="B263" s="417" t="s">
        <v>66</v>
      </c>
      <c r="C263" s="417"/>
      <c r="D263" s="10" t="s">
        <v>9</v>
      </c>
      <c r="E263" s="265">
        <f aca="true" t="shared" si="77" ref="E263:F263">SUM(E259)</f>
        <v>19</v>
      </c>
      <c r="F263" s="265">
        <f t="shared" si="77"/>
        <v>0</v>
      </c>
      <c r="G263" s="265">
        <f aca="true" t="shared" si="78" ref="G263:I263">SUM(G259)</f>
        <v>0</v>
      </c>
      <c r="H263" s="265">
        <f t="shared" si="78"/>
        <v>3</v>
      </c>
      <c r="I263" s="265">
        <f t="shared" si="78"/>
        <v>0</v>
      </c>
      <c r="J263" s="338">
        <f t="shared" si="73"/>
        <v>22</v>
      </c>
      <c r="K263" s="60">
        <v>0</v>
      </c>
      <c r="L263" s="62">
        <f t="shared" si="74"/>
        <v>0</v>
      </c>
    </row>
    <row r="264" spans="1:12" ht="24.95" customHeight="1">
      <c r="A264" s="10" t="s">
        <v>84</v>
      </c>
      <c r="B264" s="417" t="s">
        <v>85</v>
      </c>
      <c r="C264" s="417"/>
      <c r="D264" s="10" t="s">
        <v>9</v>
      </c>
      <c r="E264" s="265">
        <f aca="true" t="shared" si="79" ref="E264:F264">SUM(E260)</f>
        <v>325</v>
      </c>
      <c r="F264" s="265">
        <f t="shared" si="79"/>
        <v>0</v>
      </c>
      <c r="G264" s="265">
        <f aca="true" t="shared" si="80" ref="G264:I264">SUM(G260)</f>
        <v>0</v>
      </c>
      <c r="H264" s="265">
        <f t="shared" si="80"/>
        <v>2264</v>
      </c>
      <c r="I264" s="265">
        <f t="shared" si="80"/>
        <v>0</v>
      </c>
      <c r="J264" s="338">
        <f t="shared" si="73"/>
        <v>2589</v>
      </c>
      <c r="K264" s="60">
        <v>0</v>
      </c>
      <c r="L264" s="62">
        <f t="shared" si="74"/>
        <v>0</v>
      </c>
    </row>
    <row r="265" spans="1:12" ht="24.95" customHeight="1">
      <c r="A265" s="10" t="s">
        <v>110</v>
      </c>
      <c r="B265" s="417" t="s">
        <v>108</v>
      </c>
      <c r="C265" s="417"/>
      <c r="D265" s="10" t="s">
        <v>9</v>
      </c>
      <c r="E265" s="265">
        <f aca="true" t="shared" si="81" ref="E265:F265">SUM(E261)</f>
        <v>39</v>
      </c>
      <c r="F265" s="265">
        <f t="shared" si="81"/>
        <v>0</v>
      </c>
      <c r="G265" s="265">
        <f aca="true" t="shared" si="82" ref="G265:I265">SUM(G261)</f>
        <v>0</v>
      </c>
      <c r="H265" s="265">
        <f t="shared" si="82"/>
        <v>45</v>
      </c>
      <c r="I265" s="265">
        <f t="shared" si="82"/>
        <v>0</v>
      </c>
      <c r="J265" s="338">
        <f t="shared" si="73"/>
        <v>84</v>
      </c>
      <c r="K265" s="60">
        <v>0</v>
      </c>
      <c r="L265" s="62">
        <f t="shared" si="74"/>
        <v>0</v>
      </c>
    </row>
    <row r="266" spans="1:12" ht="24.95" customHeight="1">
      <c r="A266" s="29" t="s">
        <v>245</v>
      </c>
      <c r="B266" s="393" t="s">
        <v>246</v>
      </c>
      <c r="C266" s="393"/>
      <c r="D266" s="59" t="s">
        <v>15</v>
      </c>
      <c r="E266" s="317">
        <f>(E283+E284)*0.02</f>
        <v>4.22</v>
      </c>
      <c r="F266" s="317">
        <f aca="true" t="shared" si="83" ref="F266">(F283+F284)*0.02</f>
        <v>0</v>
      </c>
      <c r="G266" s="317">
        <f aca="true" t="shared" si="84" ref="G266:I266">(G283+G284)*0.02</f>
        <v>2.2</v>
      </c>
      <c r="H266" s="317">
        <f t="shared" si="84"/>
        <v>21.171999999999997</v>
      </c>
      <c r="I266" s="317">
        <f t="shared" si="84"/>
        <v>0</v>
      </c>
      <c r="J266" s="338">
        <f t="shared" si="73"/>
        <v>27.592</v>
      </c>
      <c r="K266" s="60">
        <v>0</v>
      </c>
      <c r="L266" s="62">
        <f t="shared" si="74"/>
        <v>0</v>
      </c>
    </row>
    <row r="267" spans="1:12" ht="24.95" customHeight="1">
      <c r="A267" s="169" t="s">
        <v>28</v>
      </c>
      <c r="B267" s="423" t="s">
        <v>105</v>
      </c>
      <c r="C267" s="423"/>
      <c r="D267" s="18" t="s">
        <v>15</v>
      </c>
      <c r="E267" s="318">
        <f aca="true" t="shared" si="85" ref="E267:F267">SUM(E258*0.01+E260*0.01)</f>
        <v>5.53</v>
      </c>
      <c r="F267" s="318">
        <f t="shared" si="85"/>
        <v>0</v>
      </c>
      <c r="G267" s="318">
        <f aca="true" t="shared" si="86" ref="G267:I267">SUM(G258*0.01+G260*0.01)</f>
        <v>0</v>
      </c>
      <c r="H267" s="318">
        <f t="shared" si="86"/>
        <v>24.740000000000002</v>
      </c>
      <c r="I267" s="318">
        <f t="shared" si="86"/>
        <v>0</v>
      </c>
      <c r="J267" s="338">
        <f t="shared" si="73"/>
        <v>30.270000000000003</v>
      </c>
      <c r="K267" s="60">
        <v>0</v>
      </c>
      <c r="L267" s="170">
        <f t="shared" si="74"/>
        <v>0</v>
      </c>
    </row>
    <row r="268" spans="1:12" ht="24.95" customHeight="1">
      <c r="A268" s="169" t="s">
        <v>28</v>
      </c>
      <c r="B268" s="423" t="s">
        <v>106</v>
      </c>
      <c r="C268" s="423"/>
      <c r="D268" s="18" t="s">
        <v>15</v>
      </c>
      <c r="E268" s="318">
        <f aca="true" t="shared" si="87" ref="E268:F268">SUM(E259*0.025+E261*0.025)</f>
        <v>1.4500000000000002</v>
      </c>
      <c r="F268" s="318">
        <f t="shared" si="87"/>
        <v>0</v>
      </c>
      <c r="G268" s="318">
        <f aca="true" t="shared" si="88" ref="G268:I268">SUM(G259*0.025+G261*0.025)</f>
        <v>0</v>
      </c>
      <c r="H268" s="318">
        <f t="shared" si="88"/>
        <v>1.2</v>
      </c>
      <c r="I268" s="318">
        <f t="shared" si="88"/>
        <v>0</v>
      </c>
      <c r="J268" s="338">
        <f t="shared" si="73"/>
        <v>2.6500000000000004</v>
      </c>
      <c r="K268" s="60">
        <v>0</v>
      </c>
      <c r="L268" s="170">
        <f t="shared" si="74"/>
        <v>0</v>
      </c>
    </row>
    <row r="269" spans="1:12" ht="24.95" customHeight="1">
      <c r="A269" s="11" t="s">
        <v>49</v>
      </c>
      <c r="B269" s="417" t="s">
        <v>153</v>
      </c>
      <c r="C269" s="417"/>
      <c r="D269" s="10" t="s">
        <v>23</v>
      </c>
      <c r="E269" s="319">
        <f aca="true" t="shared" si="89" ref="E269:F269">SUM(E270:E271)*0.00001</f>
        <v>0.00727</v>
      </c>
      <c r="F269" s="319">
        <f t="shared" si="89"/>
        <v>0</v>
      </c>
      <c r="G269" s="319">
        <f aca="true" t="shared" si="90" ref="G269:I269">SUM(G270:G271)*0.00001</f>
        <v>0</v>
      </c>
      <c r="H269" s="319">
        <f t="shared" si="90"/>
        <v>0.026180000000000002</v>
      </c>
      <c r="I269" s="319">
        <f t="shared" si="90"/>
        <v>0</v>
      </c>
      <c r="J269" s="340">
        <f t="shared" si="73"/>
        <v>0.03345</v>
      </c>
      <c r="K269" s="60">
        <v>0</v>
      </c>
      <c r="L269" s="62">
        <f t="shared" si="74"/>
        <v>0</v>
      </c>
    </row>
    <row r="270" spans="1:12" ht="24.95" customHeight="1">
      <c r="A270" s="11" t="s">
        <v>28</v>
      </c>
      <c r="B270" s="419" t="s">
        <v>157</v>
      </c>
      <c r="C270" s="419"/>
      <c r="D270" s="10" t="s">
        <v>9</v>
      </c>
      <c r="E270" s="265">
        <f>SUM(E258*1+E260*1)</f>
        <v>553</v>
      </c>
      <c r="F270" s="265">
        <f>SUM(F258*1+F260*1)</f>
        <v>0</v>
      </c>
      <c r="G270" s="265">
        <f aca="true" t="shared" si="91" ref="G270:I270">SUM(G258*1+G260*1)</f>
        <v>0</v>
      </c>
      <c r="H270" s="265">
        <f t="shared" si="91"/>
        <v>2474</v>
      </c>
      <c r="I270" s="265">
        <f t="shared" si="91"/>
        <v>0</v>
      </c>
      <c r="J270" s="338">
        <f t="shared" si="73"/>
        <v>3027</v>
      </c>
      <c r="K270" s="60">
        <v>0</v>
      </c>
      <c r="L270" s="62">
        <f t="shared" si="74"/>
        <v>0</v>
      </c>
    </row>
    <row r="271" spans="1:12" ht="24.95" customHeight="1">
      <c r="A271" s="11" t="s">
        <v>28</v>
      </c>
      <c r="B271" s="419" t="s">
        <v>158</v>
      </c>
      <c r="C271" s="419"/>
      <c r="D271" s="10" t="s">
        <v>9</v>
      </c>
      <c r="E271" s="265">
        <f>SUM(E259*3+E261*3)</f>
        <v>174</v>
      </c>
      <c r="F271" s="265">
        <f>SUM(F259*3+F261*3)</f>
        <v>0</v>
      </c>
      <c r="G271" s="265">
        <f aca="true" t="shared" si="92" ref="G271:I271">SUM(G259*3+G261*3)</f>
        <v>0</v>
      </c>
      <c r="H271" s="265">
        <f t="shared" si="92"/>
        <v>144</v>
      </c>
      <c r="I271" s="265">
        <f t="shared" si="92"/>
        <v>0</v>
      </c>
      <c r="J271" s="338">
        <f t="shared" si="73"/>
        <v>318</v>
      </c>
      <c r="K271" s="60">
        <v>0</v>
      </c>
      <c r="L271" s="62">
        <f t="shared" si="74"/>
        <v>0</v>
      </c>
    </row>
    <row r="272" spans="1:12" ht="24.95" customHeight="1">
      <c r="A272" s="10" t="s">
        <v>49</v>
      </c>
      <c r="B272" s="417" t="s">
        <v>154</v>
      </c>
      <c r="C272" s="417"/>
      <c r="D272" s="10" t="s">
        <v>23</v>
      </c>
      <c r="E272" s="319">
        <f aca="true" t="shared" si="93" ref="E272:F272">SUM(E273:E274)*0.001</f>
        <v>0.00669</v>
      </c>
      <c r="F272" s="319">
        <f t="shared" si="93"/>
        <v>0</v>
      </c>
      <c r="G272" s="319">
        <f aca="true" t="shared" si="94" ref="G272:I272">SUM(G273:G274)*0.001</f>
        <v>0</v>
      </c>
      <c r="H272" s="319">
        <f t="shared" si="94"/>
        <v>0.025700000000000004</v>
      </c>
      <c r="I272" s="319">
        <f t="shared" si="94"/>
        <v>0</v>
      </c>
      <c r="J272" s="340">
        <f t="shared" si="73"/>
        <v>0.03239</v>
      </c>
      <c r="K272" s="60">
        <v>0</v>
      </c>
      <c r="L272" s="62">
        <f t="shared" si="74"/>
        <v>0</v>
      </c>
    </row>
    <row r="273" spans="1:12" ht="24.95" customHeight="1">
      <c r="A273" s="10" t="s">
        <v>28</v>
      </c>
      <c r="B273" s="419" t="s">
        <v>160</v>
      </c>
      <c r="C273" s="419"/>
      <c r="D273" s="10" t="s">
        <v>18</v>
      </c>
      <c r="E273" s="320">
        <f>SUM(E258*10/1000+E260*10/1000)</f>
        <v>5.529999999999999</v>
      </c>
      <c r="F273" s="320">
        <f>SUM(F258*10/1000+F260*10/1000)</f>
        <v>0</v>
      </c>
      <c r="G273" s="320">
        <f aca="true" t="shared" si="95" ref="G273:I273">SUM(G258*10/1000+G260*10/1000)</f>
        <v>0</v>
      </c>
      <c r="H273" s="320">
        <f t="shared" si="95"/>
        <v>24.740000000000002</v>
      </c>
      <c r="I273" s="320">
        <f t="shared" si="95"/>
        <v>0</v>
      </c>
      <c r="J273" s="338">
        <f t="shared" si="73"/>
        <v>30.270000000000003</v>
      </c>
      <c r="K273" s="60">
        <v>0</v>
      </c>
      <c r="L273" s="62">
        <f t="shared" si="74"/>
        <v>0</v>
      </c>
    </row>
    <row r="274" spans="1:12" ht="24.95" customHeight="1" thickBot="1">
      <c r="A274" s="150" t="s">
        <v>28</v>
      </c>
      <c r="B274" s="421" t="s">
        <v>161</v>
      </c>
      <c r="C274" s="421"/>
      <c r="D274" s="150" t="s">
        <v>18</v>
      </c>
      <c r="E274" s="321">
        <f>SUM(E259*20/1000+E261*20/1000)</f>
        <v>1.1600000000000001</v>
      </c>
      <c r="F274" s="321">
        <f>SUM(F259*20/1000+F261*20/1000)</f>
        <v>0</v>
      </c>
      <c r="G274" s="321">
        <f aca="true" t="shared" si="96" ref="G274:I274">SUM(G259*20/1000+G261*20/1000)</f>
        <v>0</v>
      </c>
      <c r="H274" s="321">
        <f t="shared" si="96"/>
        <v>0.96</v>
      </c>
      <c r="I274" s="321">
        <f t="shared" si="96"/>
        <v>0</v>
      </c>
      <c r="J274" s="341">
        <f t="shared" si="73"/>
        <v>2.12</v>
      </c>
      <c r="K274" s="60">
        <v>0</v>
      </c>
      <c r="L274" s="151">
        <f t="shared" si="74"/>
        <v>0</v>
      </c>
    </row>
    <row r="275" spans="1:12" ht="24.95" customHeight="1">
      <c r="A275" s="152" t="s">
        <v>36</v>
      </c>
      <c r="B275" s="504" t="s">
        <v>24</v>
      </c>
      <c r="C275" s="504"/>
      <c r="D275" s="153" t="s">
        <v>14</v>
      </c>
      <c r="E275" s="322">
        <f aca="true" t="shared" si="97" ref="E275:F275">SUM(E277*1.05)</f>
        <v>95.55</v>
      </c>
      <c r="F275" s="322">
        <f t="shared" si="97"/>
        <v>0</v>
      </c>
      <c r="G275" s="322">
        <f aca="true" t="shared" si="98" ref="G275:H275">SUM(G277*1.05)</f>
        <v>115.5</v>
      </c>
      <c r="H275" s="322">
        <f t="shared" si="98"/>
        <v>30.450000000000003</v>
      </c>
      <c r="I275" s="322">
        <v>0</v>
      </c>
      <c r="J275" s="342">
        <f t="shared" si="73"/>
        <v>241.5</v>
      </c>
      <c r="K275" s="60">
        <v>0</v>
      </c>
      <c r="L275" s="154">
        <f>K275*J275</f>
        <v>0</v>
      </c>
    </row>
    <row r="276" spans="1:12" ht="24.95" customHeight="1">
      <c r="A276" s="155" t="s">
        <v>28</v>
      </c>
      <c r="B276" s="428" t="s">
        <v>199</v>
      </c>
      <c r="C276" s="429"/>
      <c r="D276" s="10" t="s">
        <v>14</v>
      </c>
      <c r="E276" s="320">
        <f>SUM(E275)</f>
        <v>95.55</v>
      </c>
      <c r="F276" s="320">
        <f aca="true" t="shared" si="99" ref="F276:G276">SUM(F275)</f>
        <v>0</v>
      </c>
      <c r="G276" s="320">
        <f t="shared" si="99"/>
        <v>115.5</v>
      </c>
      <c r="H276" s="320">
        <f>H275</f>
        <v>30.450000000000003</v>
      </c>
      <c r="I276" s="320">
        <v>0</v>
      </c>
      <c r="J276" s="338">
        <f t="shared" si="73"/>
        <v>241.5</v>
      </c>
      <c r="K276" s="60">
        <v>0</v>
      </c>
      <c r="L276" s="156">
        <f aca="true" t="shared" si="100" ref="L276">K276*J276</f>
        <v>0</v>
      </c>
    </row>
    <row r="277" spans="1:12" ht="24.95" customHeight="1">
      <c r="A277" s="157" t="s">
        <v>29</v>
      </c>
      <c r="B277" s="429" t="s">
        <v>25</v>
      </c>
      <c r="C277" s="429"/>
      <c r="D277" s="10" t="s">
        <v>14</v>
      </c>
      <c r="E277" s="323">
        <v>91</v>
      </c>
      <c r="F277" s="265">
        <v>0</v>
      </c>
      <c r="G277" s="334">
        <v>110</v>
      </c>
      <c r="H277" s="334">
        <v>29</v>
      </c>
      <c r="I277" s="334">
        <v>0</v>
      </c>
      <c r="J277" s="338">
        <f t="shared" si="73"/>
        <v>230</v>
      </c>
      <c r="K277" s="60">
        <v>0</v>
      </c>
      <c r="L277" s="156">
        <f aca="true" t="shared" si="101" ref="L277:L282">K277*J277</f>
        <v>0</v>
      </c>
    </row>
    <row r="278" spans="1:12" ht="24.95" customHeight="1" thickBot="1">
      <c r="A278" s="158" t="s">
        <v>28</v>
      </c>
      <c r="B278" s="427" t="s">
        <v>102</v>
      </c>
      <c r="C278" s="427"/>
      <c r="D278" s="159" t="s">
        <v>15</v>
      </c>
      <c r="E278" s="324">
        <f aca="true" t="shared" si="102" ref="E278:G278">SUM(E277*0.1)</f>
        <v>9.1</v>
      </c>
      <c r="F278" s="324">
        <f t="shared" si="102"/>
        <v>0</v>
      </c>
      <c r="G278" s="324">
        <f t="shared" si="102"/>
        <v>11</v>
      </c>
      <c r="H278" s="324">
        <f aca="true" t="shared" si="103" ref="H278">SUM(H277*0.1)</f>
        <v>2.9000000000000004</v>
      </c>
      <c r="I278" s="324">
        <v>0</v>
      </c>
      <c r="J278" s="343">
        <f t="shared" si="73"/>
        <v>23</v>
      </c>
      <c r="K278" s="60">
        <v>0</v>
      </c>
      <c r="L278" s="160">
        <f t="shared" si="101"/>
        <v>0</v>
      </c>
    </row>
    <row r="279" spans="1:12" ht="24.95" customHeight="1">
      <c r="A279" s="166" t="s">
        <v>86</v>
      </c>
      <c r="B279" s="430" t="s">
        <v>87</v>
      </c>
      <c r="C279" s="430"/>
      <c r="D279" s="167" t="s">
        <v>14</v>
      </c>
      <c r="E279" s="322">
        <f>SUM(E281*1.05)</f>
        <v>126</v>
      </c>
      <c r="F279" s="322">
        <f>SUM(F281*1.05)</f>
        <v>0</v>
      </c>
      <c r="G279" s="322">
        <v>0</v>
      </c>
      <c r="H279" s="322">
        <f>SUM(H281*1.05)</f>
        <v>1081.08</v>
      </c>
      <c r="I279" s="322">
        <v>0</v>
      </c>
      <c r="J279" s="342">
        <f t="shared" si="73"/>
        <v>1207.08</v>
      </c>
      <c r="K279" s="60">
        <v>0</v>
      </c>
      <c r="L279" s="154">
        <f t="shared" si="101"/>
        <v>0</v>
      </c>
    </row>
    <row r="280" spans="1:12" ht="24.95" customHeight="1">
      <c r="A280" s="157" t="s">
        <v>28</v>
      </c>
      <c r="B280" s="404" t="s">
        <v>68</v>
      </c>
      <c r="C280" s="404"/>
      <c r="D280" s="11" t="s">
        <v>14</v>
      </c>
      <c r="E280" s="320">
        <f aca="true" t="shared" si="104" ref="E280:F280">E279</f>
        <v>126</v>
      </c>
      <c r="F280" s="320">
        <f t="shared" si="104"/>
        <v>0</v>
      </c>
      <c r="G280" s="320">
        <v>0</v>
      </c>
      <c r="H280" s="320">
        <f aca="true" t="shared" si="105" ref="H280">H279</f>
        <v>1081.08</v>
      </c>
      <c r="I280" s="320">
        <v>0</v>
      </c>
      <c r="J280" s="338">
        <f t="shared" si="73"/>
        <v>1207.08</v>
      </c>
      <c r="K280" s="60">
        <v>0</v>
      </c>
      <c r="L280" s="156">
        <f t="shared" si="101"/>
        <v>0</v>
      </c>
    </row>
    <row r="281" spans="1:12" ht="24.95" customHeight="1">
      <c r="A281" s="157" t="s">
        <v>88</v>
      </c>
      <c r="B281" s="394" t="s">
        <v>89</v>
      </c>
      <c r="C281" s="394"/>
      <c r="D281" s="11" t="s">
        <v>14</v>
      </c>
      <c r="E281" s="265">
        <v>120</v>
      </c>
      <c r="F281" s="265">
        <v>0</v>
      </c>
      <c r="G281" s="265">
        <v>0</v>
      </c>
      <c r="H281" s="265">
        <f>858*1.2</f>
        <v>1029.6</v>
      </c>
      <c r="I281" s="265">
        <v>0</v>
      </c>
      <c r="J281" s="338">
        <f t="shared" si="73"/>
        <v>1149.6</v>
      </c>
      <c r="K281" s="60">
        <v>0</v>
      </c>
      <c r="L281" s="156">
        <f t="shared" si="101"/>
        <v>0</v>
      </c>
    </row>
    <row r="282" spans="1:12" ht="32.25" customHeight="1" thickBot="1">
      <c r="A282" s="158" t="s">
        <v>28</v>
      </c>
      <c r="B282" s="505" t="s">
        <v>111</v>
      </c>
      <c r="C282" s="506"/>
      <c r="D282" s="168" t="s">
        <v>14</v>
      </c>
      <c r="E282" s="325">
        <f>E280</f>
        <v>126</v>
      </c>
      <c r="F282" s="325">
        <f aca="true" t="shared" si="106" ref="F282:H282">F280</f>
        <v>0</v>
      </c>
      <c r="G282" s="325">
        <f t="shared" si="106"/>
        <v>0</v>
      </c>
      <c r="H282" s="325">
        <f t="shared" si="106"/>
        <v>1081.08</v>
      </c>
      <c r="I282" s="325">
        <v>0</v>
      </c>
      <c r="J282" s="343">
        <f t="shared" si="73"/>
        <v>1207.08</v>
      </c>
      <c r="K282" s="60">
        <v>0</v>
      </c>
      <c r="L282" s="160">
        <f t="shared" si="101"/>
        <v>0</v>
      </c>
    </row>
    <row r="283" spans="1:41" s="74" customFormat="1" ht="24.95" customHeight="1">
      <c r="A283" s="161" t="s">
        <v>255</v>
      </c>
      <c r="B283" s="162" t="s">
        <v>254</v>
      </c>
      <c r="C283" s="163"/>
      <c r="D283" s="164" t="s">
        <v>14</v>
      </c>
      <c r="E283" s="326">
        <f>E277</f>
        <v>91</v>
      </c>
      <c r="F283" s="326">
        <f aca="true" t="shared" si="107" ref="F283">F277</f>
        <v>0</v>
      </c>
      <c r="G283" s="326">
        <f aca="true" t="shared" si="108" ref="G283:I283">G277</f>
        <v>110</v>
      </c>
      <c r="H283" s="326">
        <f t="shared" si="108"/>
        <v>29</v>
      </c>
      <c r="I283" s="326">
        <f t="shared" si="108"/>
        <v>0</v>
      </c>
      <c r="J283" s="344">
        <f t="shared" si="73"/>
        <v>230</v>
      </c>
      <c r="K283" s="60">
        <v>0</v>
      </c>
      <c r="L283" s="165">
        <f aca="true" t="shared" si="109" ref="L283:L284">J283*K283</f>
        <v>0</v>
      </c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</row>
    <row r="284" spans="1:41" s="74" customFormat="1" ht="24.95" customHeight="1">
      <c r="A284" s="49" t="s">
        <v>256</v>
      </c>
      <c r="B284" s="75" t="s">
        <v>257</v>
      </c>
      <c r="C284" s="109"/>
      <c r="D284" s="73" t="s">
        <v>14</v>
      </c>
      <c r="E284" s="294">
        <f>E281</f>
        <v>120</v>
      </c>
      <c r="F284" s="294">
        <f aca="true" t="shared" si="110" ref="F284">F281</f>
        <v>0</v>
      </c>
      <c r="G284" s="294">
        <f aca="true" t="shared" si="111" ref="G284:I284">G281</f>
        <v>0</v>
      </c>
      <c r="H284" s="294">
        <f t="shared" si="111"/>
        <v>1029.6</v>
      </c>
      <c r="I284" s="294">
        <f t="shared" si="111"/>
        <v>0</v>
      </c>
      <c r="J284" s="338">
        <f t="shared" si="73"/>
        <v>1149.6</v>
      </c>
      <c r="K284" s="60">
        <v>0</v>
      </c>
      <c r="L284" s="118">
        <f t="shared" si="109"/>
        <v>0</v>
      </c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</row>
    <row r="285" spans="1:12" ht="24.95" customHeight="1">
      <c r="A285" s="10"/>
      <c r="B285" s="426" t="s">
        <v>273</v>
      </c>
      <c r="C285" s="426"/>
      <c r="D285" s="57"/>
      <c r="E285" s="240"/>
      <c r="F285" s="240"/>
      <c r="G285" s="240"/>
      <c r="H285" s="240"/>
      <c r="I285" s="240"/>
      <c r="J285" s="241"/>
      <c r="K285" s="119"/>
      <c r="L285" s="104">
        <f>SUM(L257:L284)</f>
        <v>0</v>
      </c>
    </row>
    <row r="286" spans="1:41" s="31" customFormat="1" ht="24.95" customHeight="1">
      <c r="A286" s="396"/>
      <c r="B286" s="397" t="s">
        <v>7</v>
      </c>
      <c r="C286" s="397"/>
      <c r="D286" s="397" t="s">
        <v>221</v>
      </c>
      <c r="E286" s="398" t="s">
        <v>115</v>
      </c>
      <c r="F286" s="398"/>
      <c r="G286" s="398"/>
      <c r="H286" s="398"/>
      <c r="I286" s="398"/>
      <c r="J286" s="398"/>
      <c r="K286" s="399" t="s">
        <v>4</v>
      </c>
      <c r="L286" s="400" t="s">
        <v>116</v>
      </c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</row>
    <row r="287" spans="1:41" s="6" customFormat="1" ht="24.95" customHeight="1">
      <c r="A287" s="396"/>
      <c r="B287" s="397"/>
      <c r="C287" s="397"/>
      <c r="D287" s="397"/>
      <c r="E287" s="267" t="s">
        <v>276</v>
      </c>
      <c r="F287" s="267" t="s">
        <v>277</v>
      </c>
      <c r="G287" s="267" t="s">
        <v>383</v>
      </c>
      <c r="H287" s="267" t="s">
        <v>384</v>
      </c>
      <c r="I287" s="267" t="s">
        <v>385</v>
      </c>
      <c r="J287" s="270" t="s">
        <v>8</v>
      </c>
      <c r="K287" s="399"/>
      <c r="L287" s="400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</row>
    <row r="288" spans="1:12" ht="24.75" customHeight="1">
      <c r="A288" s="11"/>
      <c r="B288" s="392" t="s">
        <v>240</v>
      </c>
      <c r="C288" s="392"/>
      <c r="D288" s="392"/>
      <c r="E288" s="392"/>
      <c r="F288" s="392"/>
      <c r="G288" s="392"/>
      <c r="H288" s="392"/>
      <c r="I288" s="392"/>
      <c r="J288" s="392"/>
      <c r="K288" s="392"/>
      <c r="L288" s="392"/>
    </row>
    <row r="289" spans="1:41" s="30" customFormat="1" ht="24.75" customHeight="1">
      <c r="A289" s="29" t="s">
        <v>27</v>
      </c>
      <c r="B289" s="394" t="s">
        <v>206</v>
      </c>
      <c r="C289" s="394"/>
      <c r="D289" s="28" t="s">
        <v>14</v>
      </c>
      <c r="E289" s="316">
        <v>0</v>
      </c>
      <c r="F289" s="316">
        <v>0</v>
      </c>
      <c r="G289" s="316">
        <v>0</v>
      </c>
      <c r="H289" s="316">
        <v>31</v>
      </c>
      <c r="I289" s="264">
        <v>0</v>
      </c>
      <c r="J289" s="338">
        <f aca="true" t="shared" si="112" ref="J289:J298">SUM(E289:I289)</f>
        <v>31</v>
      </c>
      <c r="K289" s="60">
        <v>0</v>
      </c>
      <c r="L289" s="117">
        <f>K289*J289</f>
        <v>0</v>
      </c>
      <c r="M289" s="136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/>
    </row>
    <row r="290" spans="1:41" s="30" customFormat="1" ht="24.95" customHeight="1">
      <c r="A290" s="28" t="s">
        <v>55</v>
      </c>
      <c r="B290" s="476" t="s">
        <v>32</v>
      </c>
      <c r="C290" s="481"/>
      <c r="D290" s="28" t="s">
        <v>14</v>
      </c>
      <c r="E290" s="316">
        <v>0</v>
      </c>
      <c r="F290" s="316">
        <v>0</v>
      </c>
      <c r="G290" s="316">
        <v>0</v>
      </c>
      <c r="H290" s="316">
        <v>31</v>
      </c>
      <c r="I290" s="264">
        <v>0</v>
      </c>
      <c r="J290" s="338">
        <f t="shared" si="112"/>
        <v>31</v>
      </c>
      <c r="K290" s="60">
        <v>0</v>
      </c>
      <c r="L290" s="117">
        <f aca="true" t="shared" si="113" ref="L290:L292">K290*J290</f>
        <v>0</v>
      </c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</row>
    <row r="291" spans="1:41" s="30" customFormat="1" ht="24.95" customHeight="1">
      <c r="A291" s="28" t="s">
        <v>28</v>
      </c>
      <c r="B291" s="480" t="s">
        <v>165</v>
      </c>
      <c r="C291" s="476"/>
      <c r="D291" s="28" t="s">
        <v>50</v>
      </c>
      <c r="E291" s="316">
        <v>0</v>
      </c>
      <c r="F291" s="316">
        <v>0</v>
      </c>
      <c r="G291" s="316">
        <v>0</v>
      </c>
      <c r="H291" s="349">
        <f>H289*0.0008</f>
        <v>0.024800000000000003</v>
      </c>
      <c r="I291" s="264">
        <v>0</v>
      </c>
      <c r="J291" s="340">
        <f t="shared" si="112"/>
        <v>0.024800000000000003</v>
      </c>
      <c r="K291" s="60">
        <v>0</v>
      </c>
      <c r="L291" s="117">
        <f t="shared" si="113"/>
        <v>0</v>
      </c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</row>
    <row r="292" spans="1:41" s="30" customFormat="1" ht="24.95" customHeight="1">
      <c r="A292" s="28" t="s">
        <v>70</v>
      </c>
      <c r="B292" s="476" t="s">
        <v>100</v>
      </c>
      <c r="C292" s="476"/>
      <c r="D292" s="28" t="s">
        <v>14</v>
      </c>
      <c r="E292" s="316">
        <v>0</v>
      </c>
      <c r="F292" s="316">
        <v>0</v>
      </c>
      <c r="G292" s="316">
        <v>0</v>
      </c>
      <c r="H292" s="316">
        <v>31</v>
      </c>
      <c r="I292" s="264">
        <v>0</v>
      </c>
      <c r="J292" s="338">
        <f t="shared" si="112"/>
        <v>31</v>
      </c>
      <c r="K292" s="60">
        <v>0</v>
      </c>
      <c r="L292" s="117">
        <f t="shared" si="113"/>
        <v>0</v>
      </c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</row>
    <row r="293" spans="1:12" ht="24.95" customHeight="1">
      <c r="A293" s="35" t="s">
        <v>27</v>
      </c>
      <c r="B293" s="420" t="s">
        <v>197</v>
      </c>
      <c r="C293" s="420"/>
      <c r="D293" s="20" t="s">
        <v>9</v>
      </c>
      <c r="E293" s="316">
        <v>0</v>
      </c>
      <c r="F293" s="316">
        <v>0</v>
      </c>
      <c r="G293" s="316">
        <v>0</v>
      </c>
      <c r="H293" s="316">
        <f>H136</f>
        <v>351</v>
      </c>
      <c r="I293" s="316">
        <v>0</v>
      </c>
      <c r="J293" s="345">
        <f t="shared" si="112"/>
        <v>351</v>
      </c>
      <c r="K293" s="60">
        <v>0</v>
      </c>
      <c r="L293" s="62">
        <f aca="true" t="shared" si="114" ref="L293:L298">K293*J293</f>
        <v>0</v>
      </c>
    </row>
    <row r="294" spans="1:12" ht="24.95" customHeight="1">
      <c r="A294" s="35" t="s">
        <v>241</v>
      </c>
      <c r="B294" s="420" t="s">
        <v>242</v>
      </c>
      <c r="C294" s="420"/>
      <c r="D294" s="32" t="s">
        <v>9</v>
      </c>
      <c r="E294" s="316">
        <v>0</v>
      </c>
      <c r="F294" s="316">
        <v>0</v>
      </c>
      <c r="G294" s="316">
        <v>0</v>
      </c>
      <c r="H294" s="336">
        <f>H293</f>
        <v>351</v>
      </c>
      <c r="I294" s="316">
        <v>0</v>
      </c>
      <c r="J294" s="345">
        <f t="shared" si="112"/>
        <v>351</v>
      </c>
      <c r="K294" s="60">
        <v>0</v>
      </c>
      <c r="L294" s="62">
        <f t="shared" si="114"/>
        <v>0</v>
      </c>
    </row>
    <row r="295" spans="1:12" ht="24.95" customHeight="1">
      <c r="A295" s="169" t="s">
        <v>28</v>
      </c>
      <c r="B295" s="423" t="s">
        <v>105</v>
      </c>
      <c r="C295" s="423"/>
      <c r="D295" s="18" t="s">
        <v>15</v>
      </c>
      <c r="E295" s="316">
        <v>0</v>
      </c>
      <c r="F295" s="316">
        <v>0</v>
      </c>
      <c r="G295" s="316">
        <v>0</v>
      </c>
      <c r="H295" s="318">
        <f>SUM(H293*0.01)</f>
        <v>3.5100000000000002</v>
      </c>
      <c r="I295" s="316">
        <v>0</v>
      </c>
      <c r="J295" s="338">
        <f t="shared" si="112"/>
        <v>3.5100000000000002</v>
      </c>
      <c r="K295" s="60">
        <v>0</v>
      </c>
      <c r="L295" s="170">
        <f t="shared" si="114"/>
        <v>0</v>
      </c>
    </row>
    <row r="296" spans="1:12" ht="24.95" customHeight="1">
      <c r="A296" s="11" t="s">
        <v>245</v>
      </c>
      <c r="B296" s="394" t="s">
        <v>246</v>
      </c>
      <c r="C296" s="394"/>
      <c r="D296" s="102" t="s">
        <v>15</v>
      </c>
      <c r="E296" s="316">
        <v>0</v>
      </c>
      <c r="F296" s="316">
        <v>0</v>
      </c>
      <c r="G296" s="316">
        <v>0</v>
      </c>
      <c r="H296" s="337">
        <f>31*0.02</f>
        <v>0.62</v>
      </c>
      <c r="I296" s="316">
        <v>0</v>
      </c>
      <c r="J296" s="345">
        <f t="shared" si="112"/>
        <v>0.62</v>
      </c>
      <c r="K296" s="60">
        <v>0</v>
      </c>
      <c r="L296" s="62">
        <f t="shared" si="114"/>
        <v>0</v>
      </c>
    </row>
    <row r="297" spans="1:12" ht="24.95" customHeight="1">
      <c r="A297" s="11" t="s">
        <v>29</v>
      </c>
      <c r="B297" s="404" t="s">
        <v>25</v>
      </c>
      <c r="C297" s="404"/>
      <c r="D297" s="11" t="s">
        <v>14</v>
      </c>
      <c r="E297" s="316">
        <v>0</v>
      </c>
      <c r="F297" s="316">
        <v>0</v>
      </c>
      <c r="G297" s="316">
        <v>0</v>
      </c>
      <c r="H297" s="334">
        <v>31</v>
      </c>
      <c r="I297" s="316">
        <v>0</v>
      </c>
      <c r="J297" s="345">
        <f t="shared" si="112"/>
        <v>31</v>
      </c>
      <c r="K297" s="60">
        <v>0</v>
      </c>
      <c r="L297" s="62">
        <f t="shared" si="114"/>
        <v>0</v>
      </c>
    </row>
    <row r="298" spans="1:12" ht="24.95" customHeight="1">
      <c r="A298" s="11" t="s">
        <v>28</v>
      </c>
      <c r="B298" s="404" t="s">
        <v>102</v>
      </c>
      <c r="C298" s="404"/>
      <c r="D298" s="11" t="s">
        <v>15</v>
      </c>
      <c r="E298" s="316">
        <v>0</v>
      </c>
      <c r="F298" s="316">
        <v>0</v>
      </c>
      <c r="G298" s="316">
        <v>0</v>
      </c>
      <c r="H298" s="317">
        <v>3.1</v>
      </c>
      <c r="I298" s="316">
        <v>0</v>
      </c>
      <c r="J298" s="345">
        <f t="shared" si="112"/>
        <v>3.1</v>
      </c>
      <c r="K298" s="60">
        <v>0</v>
      </c>
      <c r="L298" s="62">
        <f t="shared" si="114"/>
        <v>0</v>
      </c>
    </row>
    <row r="299" spans="1:12" ht="24.95" customHeight="1">
      <c r="A299" s="11"/>
      <c r="B299" s="513" t="s">
        <v>243</v>
      </c>
      <c r="C299" s="513"/>
      <c r="D299" s="57"/>
      <c r="E299" s="240"/>
      <c r="F299" s="240"/>
      <c r="G299" s="240"/>
      <c r="H299" s="240"/>
      <c r="I299" s="240"/>
      <c r="J299" s="242"/>
      <c r="K299" s="58"/>
      <c r="L299" s="104">
        <f>SUM(L289:L298)</f>
        <v>0</v>
      </c>
    </row>
    <row r="300" spans="1:41" s="31" customFormat="1" ht="24.95" customHeight="1">
      <c r="A300" s="396"/>
      <c r="B300" s="397" t="s">
        <v>7</v>
      </c>
      <c r="C300" s="397"/>
      <c r="D300" s="397" t="s">
        <v>221</v>
      </c>
      <c r="E300" s="398" t="s">
        <v>115</v>
      </c>
      <c r="F300" s="398"/>
      <c r="G300" s="398"/>
      <c r="H300" s="398"/>
      <c r="I300" s="398"/>
      <c r="J300" s="398"/>
      <c r="K300" s="399" t="s">
        <v>4</v>
      </c>
      <c r="L300" s="400" t="s">
        <v>116</v>
      </c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</row>
    <row r="301" spans="1:41" s="6" customFormat="1" ht="24.95" customHeight="1">
      <c r="A301" s="396"/>
      <c r="B301" s="397"/>
      <c r="C301" s="397"/>
      <c r="D301" s="397"/>
      <c r="E301" s="267" t="s">
        <v>276</v>
      </c>
      <c r="F301" s="267" t="s">
        <v>277</v>
      </c>
      <c r="G301" s="267" t="s">
        <v>383</v>
      </c>
      <c r="H301" s="267" t="s">
        <v>384</v>
      </c>
      <c r="I301" s="267" t="s">
        <v>385</v>
      </c>
      <c r="J301" s="270" t="s">
        <v>8</v>
      </c>
      <c r="K301" s="399"/>
      <c r="L301" s="400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</row>
    <row r="302" spans="1:12" ht="24.95" customHeight="1">
      <c r="A302" s="10"/>
      <c r="B302" s="418" t="s">
        <v>19</v>
      </c>
      <c r="C302" s="418"/>
      <c r="D302" s="418"/>
      <c r="E302" s="418"/>
      <c r="F302" s="418"/>
      <c r="G302" s="418"/>
      <c r="H302" s="418"/>
      <c r="I302" s="418"/>
      <c r="J302" s="418"/>
      <c r="K302" s="418"/>
      <c r="L302" s="418"/>
    </row>
    <row r="303" spans="1:12" ht="24.95" customHeight="1">
      <c r="A303" s="16" t="s">
        <v>27</v>
      </c>
      <c r="B303" s="394" t="s">
        <v>353</v>
      </c>
      <c r="C303" s="394"/>
      <c r="D303" s="29" t="s">
        <v>9</v>
      </c>
      <c r="E303" s="265">
        <v>7</v>
      </c>
      <c r="F303" s="265">
        <v>0</v>
      </c>
      <c r="G303" s="265">
        <v>0</v>
      </c>
      <c r="H303" s="265">
        <v>0</v>
      </c>
      <c r="I303" s="265">
        <v>0</v>
      </c>
      <c r="J303" s="290">
        <f aca="true" t="shared" si="115" ref="J303:J330">SUM(E303:I303)</f>
        <v>7</v>
      </c>
      <c r="K303" s="60">
        <v>0</v>
      </c>
      <c r="L303" s="62">
        <f aca="true" t="shared" si="116" ref="L303">J303*K303</f>
        <v>0</v>
      </c>
    </row>
    <row r="304" spans="1:41" s="24" customFormat="1" ht="24.95" customHeight="1">
      <c r="A304" s="11" t="s">
        <v>27</v>
      </c>
      <c r="B304" s="407" t="s">
        <v>198</v>
      </c>
      <c r="C304" s="407"/>
      <c r="D304" s="29" t="s">
        <v>9</v>
      </c>
      <c r="E304" s="278">
        <f>E75+E84+7</f>
        <v>18</v>
      </c>
      <c r="F304" s="278">
        <f>F75+F84</f>
        <v>25</v>
      </c>
      <c r="G304" s="278">
        <v>0</v>
      </c>
      <c r="H304" s="278">
        <f>H75+H84</f>
        <v>6</v>
      </c>
      <c r="I304" s="278">
        <f>I75+I84</f>
        <v>7</v>
      </c>
      <c r="J304" s="290">
        <f t="shared" si="115"/>
        <v>56</v>
      </c>
      <c r="K304" s="60">
        <v>0</v>
      </c>
      <c r="L304" s="62">
        <f aca="true" t="shared" si="117" ref="L304:L330">J304*K304</f>
        <v>0</v>
      </c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</row>
    <row r="305" spans="1:41" s="74" customFormat="1" ht="24.95" customHeight="1">
      <c r="A305" s="73" t="s">
        <v>258</v>
      </c>
      <c r="B305" s="424" t="s">
        <v>259</v>
      </c>
      <c r="C305" s="425"/>
      <c r="D305" s="47" t="s">
        <v>9</v>
      </c>
      <c r="E305" s="327">
        <f>E75+7</f>
        <v>18</v>
      </c>
      <c r="F305" s="327">
        <f>F75</f>
        <v>0</v>
      </c>
      <c r="G305" s="327">
        <v>0</v>
      </c>
      <c r="H305" s="327">
        <f>H75</f>
        <v>0</v>
      </c>
      <c r="I305" s="327">
        <f>I75</f>
        <v>0</v>
      </c>
      <c r="J305" s="290">
        <f t="shared" si="115"/>
        <v>18</v>
      </c>
      <c r="K305" s="60">
        <v>0</v>
      </c>
      <c r="L305" s="118">
        <f t="shared" si="117"/>
        <v>0</v>
      </c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</row>
    <row r="306" spans="1:41" s="74" customFormat="1" ht="24.95" customHeight="1">
      <c r="A306" s="73" t="s">
        <v>261</v>
      </c>
      <c r="B306" s="424" t="s">
        <v>260</v>
      </c>
      <c r="C306" s="425"/>
      <c r="D306" s="47" t="s">
        <v>9</v>
      </c>
      <c r="E306" s="327">
        <f>E84</f>
        <v>0</v>
      </c>
      <c r="F306" s="327">
        <f>F84</f>
        <v>25</v>
      </c>
      <c r="G306" s="327">
        <v>0</v>
      </c>
      <c r="H306" s="327">
        <f>H84</f>
        <v>6</v>
      </c>
      <c r="I306" s="327">
        <f>I84</f>
        <v>7</v>
      </c>
      <c r="J306" s="290">
        <f t="shared" si="115"/>
        <v>38</v>
      </c>
      <c r="K306" s="60">
        <v>0</v>
      </c>
      <c r="L306" s="118">
        <f t="shared" si="117"/>
        <v>0</v>
      </c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</row>
    <row r="307" spans="1:41" s="74" customFormat="1" ht="24.95" customHeight="1">
      <c r="A307" s="73" t="s">
        <v>263</v>
      </c>
      <c r="B307" s="424" t="s">
        <v>262</v>
      </c>
      <c r="C307" s="425"/>
      <c r="D307" s="47" t="s">
        <v>9</v>
      </c>
      <c r="E307" s="294">
        <f aca="true" t="shared" si="118" ref="E307:F307">SUM(E305)</f>
        <v>18</v>
      </c>
      <c r="F307" s="294">
        <f t="shared" si="118"/>
        <v>0</v>
      </c>
      <c r="G307" s="294">
        <v>0</v>
      </c>
      <c r="H307" s="294">
        <f aca="true" t="shared" si="119" ref="H307:I307">SUM(H305)</f>
        <v>0</v>
      </c>
      <c r="I307" s="294">
        <f t="shared" si="119"/>
        <v>0</v>
      </c>
      <c r="J307" s="290">
        <f t="shared" si="115"/>
        <v>18</v>
      </c>
      <c r="K307" s="60">
        <v>0</v>
      </c>
      <c r="L307" s="118">
        <f t="shared" si="117"/>
        <v>0</v>
      </c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</row>
    <row r="308" spans="1:41" s="74" customFormat="1" ht="24.95" customHeight="1">
      <c r="A308" s="73" t="s">
        <v>265</v>
      </c>
      <c r="B308" s="424" t="s">
        <v>264</v>
      </c>
      <c r="C308" s="425"/>
      <c r="D308" s="47" t="s">
        <v>9</v>
      </c>
      <c r="E308" s="294">
        <f aca="true" t="shared" si="120" ref="E308:F308">E306</f>
        <v>0</v>
      </c>
      <c r="F308" s="294">
        <f t="shared" si="120"/>
        <v>25</v>
      </c>
      <c r="G308" s="294">
        <f aca="true" t="shared" si="121" ref="G308:I308">G306</f>
        <v>0</v>
      </c>
      <c r="H308" s="294">
        <f t="shared" si="121"/>
        <v>6</v>
      </c>
      <c r="I308" s="294">
        <f t="shared" si="121"/>
        <v>7</v>
      </c>
      <c r="J308" s="290">
        <f t="shared" si="115"/>
        <v>38</v>
      </c>
      <c r="K308" s="60">
        <v>0</v>
      </c>
      <c r="L308" s="118">
        <f>J308*K308</f>
        <v>0</v>
      </c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</row>
    <row r="309" spans="1:12" ht="24.95" customHeight="1">
      <c r="A309" s="29" t="s">
        <v>245</v>
      </c>
      <c r="B309" s="393" t="s">
        <v>246</v>
      </c>
      <c r="C309" s="393"/>
      <c r="D309" s="59" t="s">
        <v>15</v>
      </c>
      <c r="E309" s="278">
        <f>E304*0.08</f>
        <v>1.44</v>
      </c>
      <c r="F309" s="278">
        <f aca="true" t="shared" si="122" ref="F309">F304*0.08</f>
        <v>2</v>
      </c>
      <c r="G309" s="278">
        <f aca="true" t="shared" si="123" ref="G309:I309">G304*0.08</f>
        <v>0</v>
      </c>
      <c r="H309" s="320">
        <f>H304*0.08</f>
        <v>0.48</v>
      </c>
      <c r="I309" s="320">
        <f t="shared" si="123"/>
        <v>0.56</v>
      </c>
      <c r="J309" s="290">
        <f t="shared" si="115"/>
        <v>4.48</v>
      </c>
      <c r="K309" s="60">
        <v>0</v>
      </c>
      <c r="L309" s="62">
        <f>J309*K309</f>
        <v>0</v>
      </c>
    </row>
    <row r="310" spans="1:41" s="74" customFormat="1" ht="24.95" customHeight="1">
      <c r="A310" s="47" t="s">
        <v>28</v>
      </c>
      <c r="B310" s="478" t="s">
        <v>266</v>
      </c>
      <c r="C310" s="479"/>
      <c r="D310" s="46" t="s">
        <v>15</v>
      </c>
      <c r="E310" s="328">
        <f aca="true" t="shared" si="124" ref="E310:F310">E304*0.5</f>
        <v>9</v>
      </c>
      <c r="F310" s="328">
        <f t="shared" si="124"/>
        <v>12.5</v>
      </c>
      <c r="G310" s="328">
        <f aca="true" t="shared" si="125" ref="G310:I310">G304*0.5</f>
        <v>0</v>
      </c>
      <c r="H310" s="328">
        <f t="shared" si="125"/>
        <v>3</v>
      </c>
      <c r="I310" s="328">
        <f t="shared" si="125"/>
        <v>3.5</v>
      </c>
      <c r="J310" s="290">
        <f t="shared" si="115"/>
        <v>28</v>
      </c>
      <c r="K310" s="60">
        <v>0</v>
      </c>
      <c r="L310" s="118">
        <f aca="true" t="shared" si="126" ref="L310">J310*K310</f>
        <v>0</v>
      </c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</row>
    <row r="311" spans="1:12" ht="24.95" customHeight="1">
      <c r="A311" s="10" t="s">
        <v>49</v>
      </c>
      <c r="B311" s="417" t="s">
        <v>153</v>
      </c>
      <c r="C311" s="417"/>
      <c r="D311" s="10" t="s">
        <v>23</v>
      </c>
      <c r="E311" s="319">
        <f aca="true" t="shared" si="127" ref="E311:I311">SUM(E312*0.00001)</f>
        <v>0.0009000000000000001</v>
      </c>
      <c r="F311" s="319">
        <f t="shared" si="127"/>
        <v>0.00125</v>
      </c>
      <c r="G311" s="319">
        <f t="shared" si="127"/>
        <v>0</v>
      </c>
      <c r="H311" s="319">
        <f t="shared" si="127"/>
        <v>0.00030000000000000003</v>
      </c>
      <c r="I311" s="319">
        <f t="shared" si="127"/>
        <v>0.00035000000000000005</v>
      </c>
      <c r="J311" s="347">
        <f t="shared" si="115"/>
        <v>0.0028</v>
      </c>
      <c r="K311" s="60">
        <v>0</v>
      </c>
      <c r="L311" s="62">
        <f t="shared" si="117"/>
        <v>0</v>
      </c>
    </row>
    <row r="312" spans="1:12" ht="24.95" customHeight="1">
      <c r="A312" s="11" t="s">
        <v>28</v>
      </c>
      <c r="B312" s="468" t="s">
        <v>159</v>
      </c>
      <c r="C312" s="468"/>
      <c r="D312" s="11" t="s">
        <v>9</v>
      </c>
      <c r="E312" s="265">
        <f aca="true" t="shared" si="128" ref="E312:F312">E304*5</f>
        <v>90</v>
      </c>
      <c r="F312" s="265">
        <f t="shared" si="128"/>
        <v>125</v>
      </c>
      <c r="G312" s="265">
        <f aca="true" t="shared" si="129" ref="G312:I312">G304*5</f>
        <v>0</v>
      </c>
      <c r="H312" s="265">
        <f t="shared" si="129"/>
        <v>30</v>
      </c>
      <c r="I312" s="265">
        <f t="shared" si="129"/>
        <v>35</v>
      </c>
      <c r="J312" s="346">
        <f t="shared" si="115"/>
        <v>280</v>
      </c>
      <c r="K312" s="60">
        <v>0</v>
      </c>
      <c r="L312" s="62">
        <f t="shared" si="117"/>
        <v>0</v>
      </c>
    </row>
    <row r="313" spans="1:12" ht="24.95" customHeight="1">
      <c r="A313" s="11" t="s">
        <v>49</v>
      </c>
      <c r="B313" s="422" t="s">
        <v>154</v>
      </c>
      <c r="C313" s="422"/>
      <c r="D313" s="28" t="s">
        <v>23</v>
      </c>
      <c r="E313" s="329">
        <f aca="true" t="shared" si="130" ref="E313:I313">SUM(E314*0.001)</f>
        <v>0.0018000000000000002</v>
      </c>
      <c r="F313" s="329">
        <f t="shared" si="130"/>
        <v>0.0025</v>
      </c>
      <c r="G313" s="329">
        <f t="shared" si="130"/>
        <v>0</v>
      </c>
      <c r="H313" s="329">
        <f t="shared" si="130"/>
        <v>0.0006000000000000001</v>
      </c>
      <c r="I313" s="329">
        <f t="shared" si="130"/>
        <v>0.0007000000000000001</v>
      </c>
      <c r="J313" s="347">
        <f t="shared" si="115"/>
        <v>0.0056</v>
      </c>
      <c r="K313" s="60">
        <v>0</v>
      </c>
      <c r="L313" s="62">
        <f t="shared" si="117"/>
        <v>0</v>
      </c>
    </row>
    <row r="314" spans="1:12" ht="24.95" customHeight="1">
      <c r="A314" s="11" t="s">
        <v>28</v>
      </c>
      <c r="B314" s="393" t="s">
        <v>162</v>
      </c>
      <c r="C314" s="394"/>
      <c r="D314" s="11" t="s">
        <v>18</v>
      </c>
      <c r="E314" s="320">
        <f aca="true" t="shared" si="131" ref="E314:F314">SUM(E304*0.1)</f>
        <v>1.8</v>
      </c>
      <c r="F314" s="320">
        <f t="shared" si="131"/>
        <v>2.5</v>
      </c>
      <c r="G314" s="320">
        <f aca="true" t="shared" si="132" ref="G314:I314">SUM(G304*0.1)</f>
        <v>0</v>
      </c>
      <c r="H314" s="320">
        <f t="shared" si="132"/>
        <v>0.6000000000000001</v>
      </c>
      <c r="I314" s="320">
        <f t="shared" si="132"/>
        <v>0.7000000000000001</v>
      </c>
      <c r="J314" s="290">
        <f t="shared" si="115"/>
        <v>5.6000000000000005</v>
      </c>
      <c r="K314" s="60">
        <v>0</v>
      </c>
      <c r="L314" s="62">
        <f t="shared" si="117"/>
        <v>0</v>
      </c>
    </row>
    <row r="315" spans="1:12" ht="24.95" customHeight="1">
      <c r="A315" s="11" t="s">
        <v>53</v>
      </c>
      <c r="B315" s="422" t="s">
        <v>54</v>
      </c>
      <c r="C315" s="422"/>
      <c r="D315" s="28" t="s">
        <v>9</v>
      </c>
      <c r="E315" s="264">
        <f aca="true" t="shared" si="133" ref="E315:F315">E304</f>
        <v>18</v>
      </c>
      <c r="F315" s="264">
        <f t="shared" si="133"/>
        <v>25</v>
      </c>
      <c r="G315" s="264">
        <f aca="true" t="shared" si="134" ref="G315:I315">G304</f>
        <v>0</v>
      </c>
      <c r="H315" s="264">
        <f t="shared" si="134"/>
        <v>6</v>
      </c>
      <c r="I315" s="264">
        <f t="shared" si="134"/>
        <v>7</v>
      </c>
      <c r="J315" s="290">
        <f t="shared" si="115"/>
        <v>56</v>
      </c>
      <c r="K315" s="60">
        <v>0</v>
      </c>
      <c r="L315" s="62">
        <f t="shared" si="117"/>
        <v>0</v>
      </c>
    </row>
    <row r="316" spans="1:12" ht="24.95" customHeight="1">
      <c r="A316" s="11" t="s">
        <v>28</v>
      </c>
      <c r="B316" s="422" t="s">
        <v>56</v>
      </c>
      <c r="C316" s="422"/>
      <c r="D316" s="28" t="s">
        <v>9</v>
      </c>
      <c r="E316" s="264">
        <f aca="true" t="shared" si="135" ref="E316:F316">E304*3</f>
        <v>54</v>
      </c>
      <c r="F316" s="264">
        <f t="shared" si="135"/>
        <v>75</v>
      </c>
      <c r="G316" s="264">
        <f aca="true" t="shared" si="136" ref="G316:I316">G304*3</f>
        <v>0</v>
      </c>
      <c r="H316" s="264">
        <f t="shared" si="136"/>
        <v>18</v>
      </c>
      <c r="I316" s="264">
        <f t="shared" si="136"/>
        <v>21</v>
      </c>
      <c r="J316" s="290">
        <f t="shared" si="115"/>
        <v>168</v>
      </c>
      <c r="K316" s="60">
        <v>0</v>
      </c>
      <c r="L316" s="62">
        <f t="shared" si="117"/>
        <v>0</v>
      </c>
    </row>
    <row r="317" spans="1:41" s="5" customFormat="1" ht="24.95" customHeight="1">
      <c r="A317" s="11" t="s">
        <v>28</v>
      </c>
      <c r="B317" s="407" t="s">
        <v>57</v>
      </c>
      <c r="C317" s="407"/>
      <c r="D317" s="11" t="s">
        <v>9</v>
      </c>
      <c r="E317" s="264">
        <f aca="true" t="shared" si="137" ref="E317:F317">E304*3</f>
        <v>54</v>
      </c>
      <c r="F317" s="264">
        <f t="shared" si="137"/>
        <v>75</v>
      </c>
      <c r="G317" s="264">
        <f aca="true" t="shared" si="138" ref="G317:I317">G304*3</f>
        <v>0</v>
      </c>
      <c r="H317" s="264">
        <f t="shared" si="138"/>
        <v>18</v>
      </c>
      <c r="I317" s="264">
        <f t="shared" si="138"/>
        <v>21</v>
      </c>
      <c r="J317" s="290">
        <f t="shared" si="115"/>
        <v>168</v>
      </c>
      <c r="K317" s="60">
        <v>0</v>
      </c>
      <c r="L317" s="62">
        <f t="shared" si="117"/>
        <v>0</v>
      </c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</row>
    <row r="318" spans="1:41" s="5" customFormat="1" ht="24.95" customHeight="1">
      <c r="A318" s="11" t="s">
        <v>28</v>
      </c>
      <c r="B318" s="407" t="s">
        <v>58</v>
      </c>
      <c r="C318" s="407"/>
      <c r="D318" s="11" t="s">
        <v>9</v>
      </c>
      <c r="E318" s="264">
        <f aca="true" t="shared" si="139" ref="E318:F318">E304*3</f>
        <v>54</v>
      </c>
      <c r="F318" s="264">
        <f t="shared" si="139"/>
        <v>75</v>
      </c>
      <c r="G318" s="264">
        <f aca="true" t="shared" si="140" ref="G318:I318">G304*3</f>
        <v>0</v>
      </c>
      <c r="H318" s="264">
        <f t="shared" si="140"/>
        <v>18</v>
      </c>
      <c r="I318" s="264">
        <f t="shared" si="140"/>
        <v>21</v>
      </c>
      <c r="J318" s="290">
        <f t="shared" si="115"/>
        <v>168</v>
      </c>
      <c r="K318" s="60">
        <v>0</v>
      </c>
      <c r="L318" s="62">
        <f t="shared" si="117"/>
        <v>0</v>
      </c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39"/>
      <c r="AK318" s="139"/>
      <c r="AL318" s="139"/>
      <c r="AM318" s="139"/>
      <c r="AN318" s="139"/>
      <c r="AO318" s="139"/>
    </row>
    <row r="319" spans="1:41" ht="30" customHeight="1">
      <c r="A319" s="174" t="s">
        <v>27</v>
      </c>
      <c r="B319" s="510" t="s">
        <v>467</v>
      </c>
      <c r="C319" s="510"/>
      <c r="D319" s="47" t="s">
        <v>9</v>
      </c>
      <c r="E319" s="278">
        <f>SUM(E304)</f>
        <v>18</v>
      </c>
      <c r="F319" s="278">
        <f aca="true" t="shared" si="141" ref="F319:I319">SUM(F304)</f>
        <v>25</v>
      </c>
      <c r="G319" s="278">
        <f t="shared" si="141"/>
        <v>0</v>
      </c>
      <c r="H319" s="278">
        <f t="shared" si="141"/>
        <v>6</v>
      </c>
      <c r="I319" s="278">
        <f t="shared" si="141"/>
        <v>7</v>
      </c>
      <c r="J319" s="290">
        <f t="shared" si="115"/>
        <v>56</v>
      </c>
      <c r="K319" s="60">
        <v>0</v>
      </c>
      <c r="L319" s="62">
        <f t="shared" si="117"/>
        <v>0</v>
      </c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30" customHeight="1">
      <c r="A320" s="174" t="s">
        <v>28</v>
      </c>
      <c r="B320" s="510" t="s">
        <v>468</v>
      </c>
      <c r="C320" s="510"/>
      <c r="D320" s="47" t="s">
        <v>9</v>
      </c>
      <c r="E320" s="278">
        <f>SUM(E304)</f>
        <v>18</v>
      </c>
      <c r="F320" s="278">
        <f aca="true" t="shared" si="142" ref="F320:I320">SUM(F304)</f>
        <v>25</v>
      </c>
      <c r="G320" s="278">
        <f t="shared" si="142"/>
        <v>0</v>
      </c>
      <c r="H320" s="278">
        <f t="shared" si="142"/>
        <v>6</v>
      </c>
      <c r="I320" s="278">
        <f t="shared" si="142"/>
        <v>7</v>
      </c>
      <c r="J320" s="290">
        <f t="shared" si="115"/>
        <v>56</v>
      </c>
      <c r="K320" s="60">
        <v>0</v>
      </c>
      <c r="L320" s="62">
        <f t="shared" si="117"/>
        <v>0</v>
      </c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12" ht="24.95" customHeight="1">
      <c r="A321" s="11" t="s">
        <v>30</v>
      </c>
      <c r="B321" s="404" t="s">
        <v>26</v>
      </c>
      <c r="C321" s="404"/>
      <c r="D321" s="11" t="s">
        <v>14</v>
      </c>
      <c r="E321" s="320">
        <f aca="true" t="shared" si="143" ref="E321:F321">SUM(E304)</f>
        <v>18</v>
      </c>
      <c r="F321" s="320">
        <f t="shared" si="143"/>
        <v>25</v>
      </c>
      <c r="G321" s="320">
        <f aca="true" t="shared" si="144" ref="G321:I321">SUM(G304)</f>
        <v>0</v>
      </c>
      <c r="H321" s="320">
        <f t="shared" si="144"/>
        <v>6</v>
      </c>
      <c r="I321" s="320">
        <f t="shared" si="144"/>
        <v>7</v>
      </c>
      <c r="J321" s="290">
        <f t="shared" si="115"/>
        <v>56</v>
      </c>
      <c r="K321" s="60">
        <v>0</v>
      </c>
      <c r="L321" s="62">
        <f t="shared" si="117"/>
        <v>0</v>
      </c>
    </row>
    <row r="322" spans="1:12" ht="24.95" customHeight="1">
      <c r="A322" s="11" t="s">
        <v>28</v>
      </c>
      <c r="B322" s="404" t="s">
        <v>59</v>
      </c>
      <c r="C322" s="404"/>
      <c r="D322" s="11" t="s">
        <v>14</v>
      </c>
      <c r="E322" s="320">
        <f aca="true" t="shared" si="145" ref="E322:F322">SUM(E321)</f>
        <v>18</v>
      </c>
      <c r="F322" s="320">
        <f t="shared" si="145"/>
        <v>25</v>
      </c>
      <c r="G322" s="320">
        <f aca="true" t="shared" si="146" ref="G322:I322">SUM(G321)</f>
        <v>0</v>
      </c>
      <c r="H322" s="320">
        <f t="shared" si="146"/>
        <v>6</v>
      </c>
      <c r="I322" s="320">
        <f t="shared" si="146"/>
        <v>7</v>
      </c>
      <c r="J322" s="290">
        <f t="shared" si="115"/>
        <v>56</v>
      </c>
      <c r="K322" s="60">
        <v>0</v>
      </c>
      <c r="L322" s="62">
        <f t="shared" si="117"/>
        <v>0</v>
      </c>
    </row>
    <row r="323" spans="1:12" ht="24.95" customHeight="1">
      <c r="A323" s="11" t="s">
        <v>114</v>
      </c>
      <c r="B323" s="404" t="s">
        <v>113</v>
      </c>
      <c r="C323" s="404"/>
      <c r="D323" s="11" t="s">
        <v>14</v>
      </c>
      <c r="E323" s="320">
        <v>0</v>
      </c>
      <c r="F323" s="320">
        <f>F304</f>
        <v>25</v>
      </c>
      <c r="G323" s="320">
        <v>0</v>
      </c>
      <c r="H323" s="320">
        <v>0</v>
      </c>
      <c r="I323" s="320">
        <v>7</v>
      </c>
      <c r="J323" s="290">
        <f t="shared" si="115"/>
        <v>32</v>
      </c>
      <c r="K323" s="60">
        <v>0</v>
      </c>
      <c r="L323" s="62">
        <f t="shared" si="117"/>
        <v>0</v>
      </c>
    </row>
    <row r="324" spans="1:41" s="7" customFormat="1" ht="24.95" customHeight="1">
      <c r="A324" s="11" t="s">
        <v>28</v>
      </c>
      <c r="B324" s="394" t="s">
        <v>112</v>
      </c>
      <c r="C324" s="394"/>
      <c r="D324" s="11" t="s">
        <v>9</v>
      </c>
      <c r="E324" s="265">
        <v>0</v>
      </c>
      <c r="F324" s="278">
        <f>F304</f>
        <v>25</v>
      </c>
      <c r="G324" s="265">
        <v>0</v>
      </c>
      <c r="H324" s="265">
        <v>0</v>
      </c>
      <c r="I324" s="265">
        <v>7</v>
      </c>
      <c r="J324" s="290">
        <f t="shared" si="115"/>
        <v>32</v>
      </c>
      <c r="K324" s="60">
        <v>0</v>
      </c>
      <c r="L324" s="62">
        <f t="shared" si="117"/>
        <v>0</v>
      </c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</row>
    <row r="325" spans="1:12" ht="24.95" customHeight="1">
      <c r="A325" s="11" t="s">
        <v>64</v>
      </c>
      <c r="B325" s="530" t="s">
        <v>65</v>
      </c>
      <c r="C325" s="531"/>
      <c r="D325" s="11" t="s">
        <v>9</v>
      </c>
      <c r="E325" s="265">
        <v>18</v>
      </c>
      <c r="F325" s="265">
        <f aca="true" t="shared" si="147" ref="F325">SUM(F305)</f>
        <v>0</v>
      </c>
      <c r="G325" s="265">
        <f aca="true" t="shared" si="148" ref="G325:H325">SUM(G305)</f>
        <v>0</v>
      </c>
      <c r="H325" s="265">
        <f t="shared" si="148"/>
        <v>0</v>
      </c>
      <c r="I325" s="265">
        <v>0</v>
      </c>
      <c r="J325" s="290">
        <f t="shared" si="115"/>
        <v>18</v>
      </c>
      <c r="K325" s="60">
        <v>0</v>
      </c>
      <c r="L325" s="62">
        <f t="shared" si="117"/>
        <v>0</v>
      </c>
    </row>
    <row r="326" spans="1:12" ht="30.75" customHeight="1">
      <c r="A326" s="29" t="s">
        <v>200</v>
      </c>
      <c r="B326" s="496" t="s">
        <v>201</v>
      </c>
      <c r="C326" s="497"/>
      <c r="D326" s="29" t="s">
        <v>9</v>
      </c>
      <c r="E326" s="265">
        <f aca="true" t="shared" si="149" ref="E326:F326">SUM(E306)</f>
        <v>0</v>
      </c>
      <c r="F326" s="265">
        <f t="shared" si="149"/>
        <v>25</v>
      </c>
      <c r="G326" s="265">
        <f aca="true" t="shared" si="150" ref="G326:I326">SUM(G306)</f>
        <v>0</v>
      </c>
      <c r="H326" s="265">
        <f t="shared" si="150"/>
        <v>6</v>
      </c>
      <c r="I326" s="265">
        <f t="shared" si="150"/>
        <v>7</v>
      </c>
      <c r="J326" s="290">
        <f t="shared" si="115"/>
        <v>38</v>
      </c>
      <c r="K326" s="60">
        <v>0</v>
      </c>
      <c r="L326" s="62">
        <f t="shared" si="117"/>
        <v>0</v>
      </c>
    </row>
    <row r="327" spans="1:12" ht="24.95" customHeight="1">
      <c r="A327" s="11" t="s">
        <v>28</v>
      </c>
      <c r="B327" s="403" t="s">
        <v>244</v>
      </c>
      <c r="C327" s="404"/>
      <c r="D327" s="11" t="s">
        <v>15</v>
      </c>
      <c r="E327" s="317">
        <f aca="true" t="shared" si="151" ref="E327:F327">SUM((E325+E326)*0.1)</f>
        <v>1.8</v>
      </c>
      <c r="F327" s="317">
        <f t="shared" si="151"/>
        <v>2.5</v>
      </c>
      <c r="G327" s="317">
        <f aca="true" t="shared" si="152" ref="G327:I327">SUM((G325+G326)*0.1)</f>
        <v>0</v>
      </c>
      <c r="H327" s="317">
        <f t="shared" si="152"/>
        <v>0.6000000000000001</v>
      </c>
      <c r="I327" s="317">
        <f t="shared" si="152"/>
        <v>0.7000000000000001</v>
      </c>
      <c r="J327" s="290">
        <f t="shared" si="115"/>
        <v>5.6000000000000005</v>
      </c>
      <c r="K327" s="60">
        <v>0</v>
      </c>
      <c r="L327" s="62">
        <f t="shared" si="117"/>
        <v>0</v>
      </c>
    </row>
    <row r="328" spans="1:41" s="24" customFormat="1" ht="24.95" customHeight="1">
      <c r="A328" s="71" t="s">
        <v>27</v>
      </c>
      <c r="B328" s="403" t="s">
        <v>267</v>
      </c>
      <c r="C328" s="404"/>
      <c r="D328" s="11" t="s">
        <v>9</v>
      </c>
      <c r="E328" s="264">
        <f aca="true" t="shared" si="153" ref="E328:F328">SUM(E304)</f>
        <v>18</v>
      </c>
      <c r="F328" s="264">
        <f t="shared" si="153"/>
        <v>25</v>
      </c>
      <c r="G328" s="264">
        <f aca="true" t="shared" si="154" ref="G328:I328">SUM(G304)</f>
        <v>0</v>
      </c>
      <c r="H328" s="264">
        <f t="shared" si="154"/>
        <v>6</v>
      </c>
      <c r="I328" s="264">
        <f t="shared" si="154"/>
        <v>7</v>
      </c>
      <c r="J328" s="290">
        <f t="shared" si="115"/>
        <v>56</v>
      </c>
      <c r="K328" s="60">
        <v>0</v>
      </c>
      <c r="L328" s="117">
        <f t="shared" si="117"/>
        <v>0</v>
      </c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</row>
    <row r="329" spans="1:41" s="74" customFormat="1" ht="24.95" customHeight="1">
      <c r="A329" s="49" t="s">
        <v>251</v>
      </c>
      <c r="B329" s="75" t="s">
        <v>250</v>
      </c>
      <c r="C329" s="109"/>
      <c r="D329" s="47" t="s">
        <v>9</v>
      </c>
      <c r="E329" s="294">
        <f aca="true" t="shared" si="155" ref="E329:F329">E305</f>
        <v>18</v>
      </c>
      <c r="F329" s="294">
        <f t="shared" si="155"/>
        <v>0</v>
      </c>
      <c r="G329" s="294">
        <f aca="true" t="shared" si="156" ref="G329:I329">G305</f>
        <v>0</v>
      </c>
      <c r="H329" s="294">
        <f t="shared" si="156"/>
        <v>0</v>
      </c>
      <c r="I329" s="294">
        <f t="shared" si="156"/>
        <v>0</v>
      </c>
      <c r="J329" s="290">
        <f t="shared" si="115"/>
        <v>18</v>
      </c>
      <c r="K329" s="60">
        <v>0</v>
      </c>
      <c r="L329" s="118">
        <f t="shared" si="117"/>
        <v>0</v>
      </c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138"/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</row>
    <row r="330" spans="1:41" s="74" customFormat="1" ht="24.95" customHeight="1">
      <c r="A330" s="49" t="s">
        <v>253</v>
      </c>
      <c r="B330" s="75" t="s">
        <v>252</v>
      </c>
      <c r="C330" s="109"/>
      <c r="D330" s="47" t="s">
        <v>9</v>
      </c>
      <c r="E330" s="294">
        <f aca="true" t="shared" si="157" ref="E330:F330">E306</f>
        <v>0</v>
      </c>
      <c r="F330" s="294">
        <f t="shared" si="157"/>
        <v>25</v>
      </c>
      <c r="G330" s="294">
        <f aca="true" t="shared" si="158" ref="G330:I330">G306</f>
        <v>0</v>
      </c>
      <c r="H330" s="294">
        <f t="shared" si="158"/>
        <v>6</v>
      </c>
      <c r="I330" s="294">
        <f t="shared" si="158"/>
        <v>7</v>
      </c>
      <c r="J330" s="290">
        <f t="shared" si="115"/>
        <v>38</v>
      </c>
      <c r="K330" s="60">
        <v>0</v>
      </c>
      <c r="L330" s="118">
        <f t="shared" si="117"/>
        <v>0</v>
      </c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138"/>
      <c r="AC330" s="138"/>
      <c r="AD330" s="138"/>
      <c r="AE330" s="138"/>
      <c r="AF330" s="138"/>
      <c r="AG330" s="138"/>
      <c r="AH330" s="138"/>
      <c r="AI330" s="138"/>
      <c r="AJ330" s="138"/>
      <c r="AK330" s="138"/>
      <c r="AL330" s="138"/>
      <c r="AM330" s="138"/>
      <c r="AN330" s="138"/>
      <c r="AO330" s="138"/>
    </row>
    <row r="331" spans="1:12" ht="24.95" customHeight="1">
      <c r="A331" s="10"/>
      <c r="B331" s="494" t="s">
        <v>502</v>
      </c>
      <c r="C331" s="494"/>
      <c r="D331" s="39" t="s">
        <v>9</v>
      </c>
      <c r="E331" s="243"/>
      <c r="F331" s="243"/>
      <c r="G331" s="243"/>
      <c r="H331" s="243"/>
      <c r="I331" s="243"/>
      <c r="J331" s="244"/>
      <c r="K331" s="122"/>
      <c r="L331" s="66">
        <f>SUM(L303:L330)</f>
        <v>0</v>
      </c>
    </row>
    <row r="332" spans="1:41" s="31" customFormat="1" ht="24.95" customHeight="1">
      <c r="A332" s="396"/>
      <c r="B332" s="397" t="s">
        <v>7</v>
      </c>
      <c r="C332" s="397"/>
      <c r="D332" s="397" t="s">
        <v>221</v>
      </c>
      <c r="E332" s="398" t="s">
        <v>115</v>
      </c>
      <c r="F332" s="398"/>
      <c r="G332" s="398"/>
      <c r="H332" s="398"/>
      <c r="I332" s="398"/>
      <c r="J332" s="398"/>
      <c r="K332" s="399" t="s">
        <v>4</v>
      </c>
      <c r="L332" s="400" t="s">
        <v>116</v>
      </c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</row>
    <row r="333" spans="1:41" s="6" customFormat="1" ht="24.95" customHeight="1">
      <c r="A333" s="396"/>
      <c r="B333" s="397"/>
      <c r="C333" s="397"/>
      <c r="D333" s="397"/>
      <c r="E333" s="267" t="s">
        <v>276</v>
      </c>
      <c r="F333" s="267" t="s">
        <v>277</v>
      </c>
      <c r="G333" s="267" t="s">
        <v>383</v>
      </c>
      <c r="H333" s="267" t="s">
        <v>384</v>
      </c>
      <c r="I333" s="267" t="s">
        <v>385</v>
      </c>
      <c r="J333" s="270" t="s">
        <v>8</v>
      </c>
      <c r="K333" s="399"/>
      <c r="L333" s="400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</row>
    <row r="334" spans="1:12" ht="24.95" customHeight="1">
      <c r="A334" s="10"/>
      <c r="B334" s="418" t="s">
        <v>20</v>
      </c>
      <c r="C334" s="418"/>
      <c r="D334" s="418"/>
      <c r="E334" s="418"/>
      <c r="F334" s="418"/>
      <c r="G334" s="418"/>
      <c r="H334" s="418"/>
      <c r="I334" s="418"/>
      <c r="J334" s="418"/>
      <c r="K334" s="418"/>
      <c r="L334" s="418"/>
    </row>
    <row r="335" spans="1:12" ht="24.95" customHeight="1">
      <c r="A335" s="11" t="s">
        <v>55</v>
      </c>
      <c r="B335" s="468" t="s">
        <v>32</v>
      </c>
      <c r="C335" s="469"/>
      <c r="D335" s="11" t="s">
        <v>14</v>
      </c>
      <c r="E335" s="320">
        <v>160</v>
      </c>
      <c r="F335" s="320">
        <v>1585</v>
      </c>
      <c r="G335" s="320">
        <v>17</v>
      </c>
      <c r="H335" s="320">
        <v>0</v>
      </c>
      <c r="I335" s="320">
        <v>0</v>
      </c>
      <c r="J335" s="338">
        <f aca="true" t="shared" si="159" ref="J335:J350">SUM(E335:I335)</f>
        <v>1762</v>
      </c>
      <c r="K335" s="60">
        <v>0</v>
      </c>
      <c r="L335" s="62">
        <f aca="true" t="shared" si="160" ref="L335:L350">K335*J335</f>
        <v>0</v>
      </c>
    </row>
    <row r="336" spans="1:12" ht="24.95" customHeight="1">
      <c r="A336" s="10" t="s">
        <v>28</v>
      </c>
      <c r="B336" s="419" t="s">
        <v>165</v>
      </c>
      <c r="C336" s="419"/>
      <c r="D336" s="10" t="s">
        <v>50</v>
      </c>
      <c r="E336" s="330">
        <f aca="true" t="shared" si="161" ref="E336:F336">SUM(E335*0.0008)</f>
        <v>0.128</v>
      </c>
      <c r="F336" s="330">
        <f t="shared" si="161"/>
        <v>1.268</v>
      </c>
      <c r="G336" s="330">
        <f aca="true" t="shared" si="162" ref="G336:H336">SUM(G335*0.0008)</f>
        <v>0.013600000000000001</v>
      </c>
      <c r="H336" s="330">
        <f t="shared" si="162"/>
        <v>0</v>
      </c>
      <c r="I336" s="330">
        <f aca="true" t="shared" si="163" ref="I336">SUM(I335*0.0008)</f>
        <v>0</v>
      </c>
      <c r="J336" s="348">
        <f t="shared" si="159"/>
        <v>1.4096</v>
      </c>
      <c r="K336" s="60">
        <v>0</v>
      </c>
      <c r="L336" s="62">
        <f t="shared" si="160"/>
        <v>0</v>
      </c>
    </row>
    <row r="337" spans="1:12" ht="24.95" customHeight="1">
      <c r="A337" s="10" t="s">
        <v>70</v>
      </c>
      <c r="B337" s="488" t="s">
        <v>100</v>
      </c>
      <c r="C337" s="468"/>
      <c r="D337" s="11" t="s">
        <v>14</v>
      </c>
      <c r="E337" s="320">
        <f aca="true" t="shared" si="164" ref="E337:F337">SUM(E335)</f>
        <v>160</v>
      </c>
      <c r="F337" s="320">
        <f t="shared" si="164"/>
        <v>1585</v>
      </c>
      <c r="G337" s="320">
        <f aca="true" t="shared" si="165" ref="G337:H337">SUM(G335)</f>
        <v>17</v>
      </c>
      <c r="H337" s="320">
        <f t="shared" si="165"/>
        <v>0</v>
      </c>
      <c r="I337" s="320">
        <f aca="true" t="shared" si="166" ref="I337">SUM(I335)</f>
        <v>0</v>
      </c>
      <c r="J337" s="338">
        <f t="shared" si="159"/>
        <v>1762</v>
      </c>
      <c r="K337" s="60">
        <v>0</v>
      </c>
      <c r="L337" s="62">
        <f t="shared" si="160"/>
        <v>0</v>
      </c>
    </row>
    <row r="338" spans="1:12" ht="24.95" customHeight="1">
      <c r="A338" s="11" t="s">
        <v>92</v>
      </c>
      <c r="B338" s="394" t="s">
        <v>93</v>
      </c>
      <c r="C338" s="394"/>
      <c r="D338" s="11" t="s">
        <v>14</v>
      </c>
      <c r="E338" s="320">
        <f>SUM(E335)</f>
        <v>160</v>
      </c>
      <c r="F338" s="320">
        <f>SUM(F335)</f>
        <v>1585</v>
      </c>
      <c r="G338" s="320">
        <f aca="true" t="shared" si="167" ref="G338:H338">SUM(G335)</f>
        <v>17</v>
      </c>
      <c r="H338" s="320">
        <f t="shared" si="167"/>
        <v>0</v>
      </c>
      <c r="I338" s="320">
        <f aca="true" t="shared" si="168" ref="I338">SUM(I335)</f>
        <v>0</v>
      </c>
      <c r="J338" s="338">
        <f t="shared" si="159"/>
        <v>1762</v>
      </c>
      <c r="K338" s="60">
        <v>0</v>
      </c>
      <c r="L338" s="62">
        <f t="shared" si="160"/>
        <v>0</v>
      </c>
    </row>
    <row r="339" spans="1:12" ht="24.95" customHeight="1">
      <c r="A339" s="11" t="s">
        <v>33</v>
      </c>
      <c r="B339" s="394" t="s">
        <v>71</v>
      </c>
      <c r="C339" s="394"/>
      <c r="D339" s="11" t="s">
        <v>14</v>
      </c>
      <c r="E339" s="320">
        <f>SUM(E335)</f>
        <v>160</v>
      </c>
      <c r="F339" s="320">
        <f>SUM(F335)</f>
        <v>1585</v>
      </c>
      <c r="G339" s="320">
        <f aca="true" t="shared" si="169" ref="G339:H339">SUM(G335)</f>
        <v>17</v>
      </c>
      <c r="H339" s="320">
        <f t="shared" si="169"/>
        <v>0</v>
      </c>
      <c r="I339" s="320">
        <f aca="true" t="shared" si="170" ref="I339">SUM(I335)</f>
        <v>0</v>
      </c>
      <c r="J339" s="338">
        <f t="shared" si="159"/>
        <v>1762</v>
      </c>
      <c r="K339" s="60">
        <v>0</v>
      </c>
      <c r="L339" s="62">
        <f t="shared" si="160"/>
        <v>0</v>
      </c>
    </row>
    <row r="340" spans="1:12" ht="24.95" customHeight="1">
      <c r="A340" s="10" t="s">
        <v>91</v>
      </c>
      <c r="B340" s="488" t="s">
        <v>202</v>
      </c>
      <c r="C340" s="468"/>
      <c r="D340" s="11" t="s">
        <v>15</v>
      </c>
      <c r="E340" s="317">
        <f>0.01*E335</f>
        <v>1.6</v>
      </c>
      <c r="F340" s="317">
        <f>0.01*F335</f>
        <v>15.85</v>
      </c>
      <c r="G340" s="317">
        <f aca="true" t="shared" si="171" ref="G340:H340">0.01*G335</f>
        <v>0.17</v>
      </c>
      <c r="H340" s="317">
        <f t="shared" si="171"/>
        <v>0</v>
      </c>
      <c r="I340" s="317">
        <f aca="true" t="shared" si="172" ref="I340">0.01*I335</f>
        <v>0</v>
      </c>
      <c r="J340" s="338">
        <f t="shared" si="159"/>
        <v>17.62</v>
      </c>
      <c r="K340" s="60">
        <v>0</v>
      </c>
      <c r="L340" s="62">
        <f t="shared" si="160"/>
        <v>0</v>
      </c>
    </row>
    <row r="341" spans="1:12" ht="36.75" customHeight="1">
      <c r="A341" s="11" t="s">
        <v>28</v>
      </c>
      <c r="B341" s="405" t="s">
        <v>354</v>
      </c>
      <c r="C341" s="406"/>
      <c r="D341" s="20" t="s">
        <v>15</v>
      </c>
      <c r="E341" s="317">
        <f>SUM(E335*0.05*1.2)</f>
        <v>9.6</v>
      </c>
      <c r="F341" s="317">
        <f>SUM(F335*0.05*1.2)</f>
        <v>95.1</v>
      </c>
      <c r="G341" s="317">
        <f aca="true" t="shared" si="173" ref="G341:H341">SUM(G335*0.05*1.2)</f>
        <v>1.02</v>
      </c>
      <c r="H341" s="317">
        <f t="shared" si="173"/>
        <v>0</v>
      </c>
      <c r="I341" s="317">
        <f aca="true" t="shared" si="174" ref="I341">SUM(I335*0.05*1.2)</f>
        <v>0</v>
      </c>
      <c r="J341" s="338">
        <f t="shared" si="159"/>
        <v>105.71999999999998</v>
      </c>
      <c r="K341" s="60">
        <v>0</v>
      </c>
      <c r="L341" s="62">
        <f t="shared" si="160"/>
        <v>0</v>
      </c>
    </row>
    <row r="342" spans="1:12" ht="24.95" customHeight="1">
      <c r="A342" s="11" t="s">
        <v>27</v>
      </c>
      <c r="B342" s="495" t="s">
        <v>94</v>
      </c>
      <c r="C342" s="495"/>
      <c r="D342" s="21" t="s">
        <v>15</v>
      </c>
      <c r="E342" s="317">
        <f aca="true" t="shared" si="175" ref="E342:F342">SUM(E341)</f>
        <v>9.6</v>
      </c>
      <c r="F342" s="317">
        <f t="shared" si="175"/>
        <v>95.1</v>
      </c>
      <c r="G342" s="317">
        <f aca="true" t="shared" si="176" ref="G342:H342">SUM(G341)</f>
        <v>1.02</v>
      </c>
      <c r="H342" s="317">
        <f t="shared" si="176"/>
        <v>0</v>
      </c>
      <c r="I342" s="317">
        <f aca="true" t="shared" si="177" ref="I342">SUM(I341)</f>
        <v>0</v>
      </c>
      <c r="J342" s="338">
        <f t="shared" si="159"/>
        <v>105.71999999999998</v>
      </c>
      <c r="K342" s="60">
        <v>0</v>
      </c>
      <c r="L342" s="62">
        <f t="shared" si="160"/>
        <v>0</v>
      </c>
    </row>
    <row r="343" spans="1:12" ht="24.95" customHeight="1">
      <c r="A343" s="18" t="s">
        <v>95</v>
      </c>
      <c r="B343" s="469" t="s">
        <v>96</v>
      </c>
      <c r="C343" s="469"/>
      <c r="D343" s="18" t="s">
        <v>14</v>
      </c>
      <c r="E343" s="320">
        <f aca="true" t="shared" si="178" ref="E343:F343">SUM(E335)</f>
        <v>160</v>
      </c>
      <c r="F343" s="320">
        <f t="shared" si="178"/>
        <v>1585</v>
      </c>
      <c r="G343" s="320">
        <f aca="true" t="shared" si="179" ref="G343:H343">SUM(G335)</f>
        <v>17</v>
      </c>
      <c r="H343" s="320">
        <f t="shared" si="179"/>
        <v>0</v>
      </c>
      <c r="I343" s="320">
        <f aca="true" t="shared" si="180" ref="I343">SUM(I335)</f>
        <v>0</v>
      </c>
      <c r="J343" s="338">
        <f t="shared" si="159"/>
        <v>1762</v>
      </c>
      <c r="K343" s="60">
        <v>0</v>
      </c>
      <c r="L343" s="62">
        <f t="shared" si="160"/>
        <v>0</v>
      </c>
    </row>
    <row r="344" spans="1:12" ht="24.95" customHeight="1">
      <c r="A344" s="11" t="s">
        <v>33</v>
      </c>
      <c r="B344" s="394" t="s">
        <v>71</v>
      </c>
      <c r="C344" s="394"/>
      <c r="D344" s="11" t="s">
        <v>14</v>
      </c>
      <c r="E344" s="320">
        <f aca="true" t="shared" si="181" ref="E344:F344">SUM(E335)</f>
        <v>160</v>
      </c>
      <c r="F344" s="320">
        <f t="shared" si="181"/>
        <v>1585</v>
      </c>
      <c r="G344" s="320">
        <f aca="true" t="shared" si="182" ref="G344:H344">SUM(G335)</f>
        <v>17</v>
      </c>
      <c r="H344" s="320">
        <f t="shared" si="182"/>
        <v>0</v>
      </c>
      <c r="I344" s="320">
        <f aca="true" t="shared" si="183" ref="I344">SUM(I335)</f>
        <v>0</v>
      </c>
      <c r="J344" s="338">
        <f t="shared" si="159"/>
        <v>1762</v>
      </c>
      <c r="K344" s="60">
        <v>0</v>
      </c>
      <c r="L344" s="62">
        <f t="shared" si="160"/>
        <v>0</v>
      </c>
    </row>
    <row r="345" spans="1:12" ht="24.95" customHeight="1">
      <c r="A345" s="35" t="s">
        <v>144</v>
      </c>
      <c r="B345" s="448" t="s">
        <v>143</v>
      </c>
      <c r="C345" s="407"/>
      <c r="D345" s="35" t="s">
        <v>14</v>
      </c>
      <c r="E345" s="331">
        <f aca="true" t="shared" si="184" ref="E345:F345">SUM(E335)</f>
        <v>160</v>
      </c>
      <c r="F345" s="331">
        <f t="shared" si="184"/>
        <v>1585</v>
      </c>
      <c r="G345" s="331">
        <f aca="true" t="shared" si="185" ref="G345:H345">SUM(G335)</f>
        <v>17</v>
      </c>
      <c r="H345" s="331">
        <f t="shared" si="185"/>
        <v>0</v>
      </c>
      <c r="I345" s="331">
        <f aca="true" t="shared" si="186" ref="I345">SUM(I335)</f>
        <v>0</v>
      </c>
      <c r="J345" s="338">
        <f t="shared" si="159"/>
        <v>1762</v>
      </c>
      <c r="K345" s="60">
        <v>0</v>
      </c>
      <c r="L345" s="62">
        <f t="shared" si="160"/>
        <v>0</v>
      </c>
    </row>
    <row r="346" spans="1:12" ht="24.95" customHeight="1">
      <c r="A346" s="11" t="s">
        <v>28</v>
      </c>
      <c r="B346" s="407" t="s">
        <v>103</v>
      </c>
      <c r="C346" s="407"/>
      <c r="D346" s="11" t="s">
        <v>18</v>
      </c>
      <c r="E346" s="330">
        <f aca="true" t="shared" si="187" ref="E346:F346">SUM(E345*250/10000)</f>
        <v>4</v>
      </c>
      <c r="F346" s="330">
        <f t="shared" si="187"/>
        <v>39.625</v>
      </c>
      <c r="G346" s="330">
        <f aca="true" t="shared" si="188" ref="G346:H346">SUM(G345*250/10000)</f>
        <v>0.425</v>
      </c>
      <c r="H346" s="330">
        <f t="shared" si="188"/>
        <v>0</v>
      </c>
      <c r="I346" s="330">
        <f aca="true" t="shared" si="189" ref="I346">SUM(I345*250/10000)</f>
        <v>0</v>
      </c>
      <c r="J346" s="338">
        <f t="shared" si="159"/>
        <v>44.05</v>
      </c>
      <c r="K346" s="60">
        <v>0</v>
      </c>
      <c r="L346" s="62">
        <f t="shared" si="160"/>
        <v>0</v>
      </c>
    </row>
    <row r="347" spans="1:12" ht="24.95" customHeight="1">
      <c r="A347" s="11" t="s">
        <v>31</v>
      </c>
      <c r="B347" s="404" t="s">
        <v>22</v>
      </c>
      <c r="C347" s="404"/>
      <c r="D347" s="11" t="s">
        <v>23</v>
      </c>
      <c r="E347" s="319">
        <f aca="true" t="shared" si="190" ref="E347:I347">SUM(E348*0.001)</f>
        <v>0.0048</v>
      </c>
      <c r="F347" s="319">
        <f t="shared" si="190"/>
        <v>0.047549999999999995</v>
      </c>
      <c r="G347" s="319">
        <f t="shared" si="190"/>
        <v>0.00051</v>
      </c>
      <c r="H347" s="319">
        <f t="shared" si="190"/>
        <v>0</v>
      </c>
      <c r="I347" s="319">
        <f t="shared" si="190"/>
        <v>0</v>
      </c>
      <c r="J347" s="338">
        <f t="shared" si="159"/>
        <v>0.05285999999999999</v>
      </c>
      <c r="K347" s="60">
        <v>0</v>
      </c>
      <c r="L347" s="62">
        <f t="shared" si="160"/>
        <v>0</v>
      </c>
    </row>
    <row r="348" spans="1:12" ht="24.95" customHeight="1">
      <c r="A348" s="35" t="s">
        <v>28</v>
      </c>
      <c r="B348" s="407" t="s">
        <v>104</v>
      </c>
      <c r="C348" s="407"/>
      <c r="D348" s="35" t="s">
        <v>18</v>
      </c>
      <c r="E348" s="331">
        <f aca="true" t="shared" si="191" ref="E348:F348">SUM(E345*0.03)</f>
        <v>4.8</v>
      </c>
      <c r="F348" s="331">
        <f t="shared" si="191"/>
        <v>47.55</v>
      </c>
      <c r="G348" s="331">
        <f aca="true" t="shared" si="192" ref="G348:H348">SUM(G345*0.03)</f>
        <v>0.51</v>
      </c>
      <c r="H348" s="331">
        <f t="shared" si="192"/>
        <v>0</v>
      </c>
      <c r="I348" s="331">
        <f aca="true" t="shared" si="193" ref="I348">SUM(I345*0.03)</f>
        <v>0</v>
      </c>
      <c r="J348" s="338">
        <f t="shared" si="159"/>
        <v>52.85999999999999</v>
      </c>
      <c r="K348" s="60">
        <v>0</v>
      </c>
      <c r="L348" s="62">
        <f t="shared" si="160"/>
        <v>0</v>
      </c>
    </row>
    <row r="349" spans="1:12" ht="24.95" customHeight="1">
      <c r="A349" s="35" t="s">
        <v>69</v>
      </c>
      <c r="B349" s="468" t="s">
        <v>97</v>
      </c>
      <c r="C349" s="468"/>
      <c r="D349" s="35" t="s">
        <v>14</v>
      </c>
      <c r="E349" s="331">
        <f aca="true" t="shared" si="194" ref="E349:F349">SUM(E345*3)</f>
        <v>480</v>
      </c>
      <c r="F349" s="331">
        <f t="shared" si="194"/>
        <v>4755</v>
      </c>
      <c r="G349" s="331">
        <f aca="true" t="shared" si="195" ref="G349:H349">SUM(G345*3)</f>
        <v>51</v>
      </c>
      <c r="H349" s="331">
        <f t="shared" si="195"/>
        <v>0</v>
      </c>
      <c r="I349" s="331">
        <f aca="true" t="shared" si="196" ref="I349">SUM(I345*3)</f>
        <v>0</v>
      </c>
      <c r="J349" s="338">
        <f t="shared" si="159"/>
        <v>5286</v>
      </c>
      <c r="K349" s="60">
        <v>0</v>
      </c>
      <c r="L349" s="62">
        <f t="shared" si="160"/>
        <v>0</v>
      </c>
    </row>
    <row r="350" spans="1:41" s="74" customFormat="1" ht="24.95" customHeight="1">
      <c r="A350" s="73" t="s">
        <v>27</v>
      </c>
      <c r="B350" s="449" t="s">
        <v>509</v>
      </c>
      <c r="C350" s="450"/>
      <c r="D350" s="73" t="s">
        <v>23</v>
      </c>
      <c r="E350" s="315">
        <f>E335*0.001</f>
        <v>0.16</v>
      </c>
      <c r="F350" s="315">
        <f>F335*0.001</f>
        <v>1.585</v>
      </c>
      <c r="G350" s="315">
        <f aca="true" t="shared" si="197" ref="G350:H350">G335*0.001</f>
        <v>0.017</v>
      </c>
      <c r="H350" s="315">
        <f t="shared" si="197"/>
        <v>0</v>
      </c>
      <c r="I350" s="315">
        <f aca="true" t="shared" si="198" ref="I350">I335*0.001</f>
        <v>0</v>
      </c>
      <c r="J350" s="338">
        <f t="shared" si="159"/>
        <v>1.7619999999999998</v>
      </c>
      <c r="K350" s="60">
        <v>0</v>
      </c>
      <c r="L350" s="118">
        <f t="shared" si="160"/>
        <v>0</v>
      </c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38"/>
      <c r="AN350" s="138"/>
      <c r="AO350" s="138"/>
    </row>
    <row r="351" spans="1:12" ht="24.95" customHeight="1">
      <c r="A351" s="123"/>
      <c r="B351" s="494" t="s">
        <v>21</v>
      </c>
      <c r="C351" s="494"/>
      <c r="D351" s="39"/>
      <c r="E351" s="243"/>
      <c r="F351" s="243"/>
      <c r="G351" s="335"/>
      <c r="H351" s="243"/>
      <c r="I351" s="243"/>
      <c r="J351" s="244"/>
      <c r="K351" s="122"/>
      <c r="L351" s="66">
        <f>SUM(L335:L350)</f>
        <v>0</v>
      </c>
    </row>
    <row r="352" spans="1:41" s="31" customFormat="1" ht="24.95" customHeight="1">
      <c r="A352" s="396"/>
      <c r="B352" s="397" t="s">
        <v>7</v>
      </c>
      <c r="C352" s="397"/>
      <c r="D352" s="397" t="s">
        <v>221</v>
      </c>
      <c r="E352" s="398" t="s">
        <v>115</v>
      </c>
      <c r="F352" s="398"/>
      <c r="G352" s="398"/>
      <c r="H352" s="398"/>
      <c r="I352" s="398"/>
      <c r="J352" s="398"/>
      <c r="K352" s="399" t="s">
        <v>4</v>
      </c>
      <c r="L352" s="400" t="s">
        <v>116</v>
      </c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</row>
    <row r="353" spans="1:41" s="6" customFormat="1" ht="24.95" customHeight="1">
      <c r="A353" s="396"/>
      <c r="B353" s="397"/>
      <c r="C353" s="397"/>
      <c r="D353" s="397"/>
      <c r="E353" s="267" t="s">
        <v>276</v>
      </c>
      <c r="F353" s="267" t="s">
        <v>277</v>
      </c>
      <c r="G353" s="267" t="s">
        <v>383</v>
      </c>
      <c r="H353" s="267" t="s">
        <v>384</v>
      </c>
      <c r="I353" s="267" t="s">
        <v>385</v>
      </c>
      <c r="J353" s="270" t="s">
        <v>8</v>
      </c>
      <c r="K353" s="399"/>
      <c r="L353" s="400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  <c r="AH353" s="133"/>
      <c r="AI353" s="133"/>
      <c r="AJ353" s="133"/>
      <c r="AK353" s="133"/>
      <c r="AL353" s="133"/>
      <c r="AM353" s="133"/>
      <c r="AN353" s="133"/>
      <c r="AO353" s="133"/>
    </row>
    <row r="354" spans="1:12" ht="24.95" customHeight="1">
      <c r="A354" s="123"/>
      <c r="B354" s="418" t="s">
        <v>196</v>
      </c>
      <c r="C354" s="418"/>
      <c r="D354" s="418"/>
      <c r="E354" s="418"/>
      <c r="F354" s="418"/>
      <c r="G354" s="418"/>
      <c r="H354" s="418"/>
      <c r="I354" s="418"/>
      <c r="J354" s="418"/>
      <c r="K354" s="418"/>
      <c r="L354" s="418"/>
    </row>
    <row r="355" spans="1:12" ht="24.95" customHeight="1">
      <c r="A355" s="11" t="s">
        <v>55</v>
      </c>
      <c r="B355" s="468" t="s">
        <v>32</v>
      </c>
      <c r="C355" s="469"/>
      <c r="D355" s="11" t="s">
        <v>14</v>
      </c>
      <c r="E355" s="320">
        <v>0</v>
      </c>
      <c r="F355" s="320">
        <f>1713*1.2</f>
        <v>2055.6</v>
      </c>
      <c r="G355" s="320">
        <v>120</v>
      </c>
      <c r="H355" s="320">
        <v>0</v>
      </c>
      <c r="I355" s="320">
        <v>0</v>
      </c>
      <c r="J355" s="338">
        <f aca="true" t="shared" si="199" ref="J355:J367">SUM(E355:I355)</f>
        <v>2175.6</v>
      </c>
      <c r="K355" s="60">
        <v>0</v>
      </c>
      <c r="L355" s="62">
        <f aca="true" t="shared" si="200" ref="L355:L367">K355*J355</f>
        <v>0</v>
      </c>
    </row>
    <row r="356" spans="1:12" ht="24.95" customHeight="1">
      <c r="A356" s="11" t="s">
        <v>28</v>
      </c>
      <c r="B356" s="468" t="s">
        <v>101</v>
      </c>
      <c r="C356" s="468"/>
      <c r="D356" s="11" t="s">
        <v>50</v>
      </c>
      <c r="E356" s="330">
        <f aca="true" t="shared" si="201" ref="E356:F356">SUM(E355*0.0008)</f>
        <v>0</v>
      </c>
      <c r="F356" s="330">
        <f t="shared" si="201"/>
        <v>1.64448</v>
      </c>
      <c r="G356" s="330">
        <f aca="true" t="shared" si="202" ref="G356:I356">SUM(G355*0.0008)</f>
        <v>0.096</v>
      </c>
      <c r="H356" s="330">
        <f t="shared" si="202"/>
        <v>0</v>
      </c>
      <c r="I356" s="330">
        <f t="shared" si="202"/>
        <v>0</v>
      </c>
      <c r="J356" s="338">
        <f t="shared" si="199"/>
        <v>1.74048</v>
      </c>
      <c r="K356" s="60">
        <v>0</v>
      </c>
      <c r="L356" s="62">
        <f t="shared" si="200"/>
        <v>0</v>
      </c>
    </row>
    <row r="357" spans="1:12" ht="24.95" customHeight="1">
      <c r="A357" s="11" t="s">
        <v>70</v>
      </c>
      <c r="B357" s="488" t="s">
        <v>100</v>
      </c>
      <c r="C357" s="468"/>
      <c r="D357" s="11" t="s">
        <v>14</v>
      </c>
      <c r="E357" s="320">
        <f aca="true" t="shared" si="203" ref="E357:F357">SUM(E355)</f>
        <v>0</v>
      </c>
      <c r="F357" s="320">
        <f t="shared" si="203"/>
        <v>2055.6</v>
      </c>
      <c r="G357" s="320">
        <f aca="true" t="shared" si="204" ref="G357:I357">SUM(G355)</f>
        <v>120</v>
      </c>
      <c r="H357" s="320">
        <f t="shared" si="204"/>
        <v>0</v>
      </c>
      <c r="I357" s="320">
        <f t="shared" si="204"/>
        <v>0</v>
      </c>
      <c r="J357" s="338">
        <f t="shared" si="199"/>
        <v>2175.6</v>
      </c>
      <c r="K357" s="60">
        <v>0</v>
      </c>
      <c r="L357" s="62">
        <f t="shared" si="200"/>
        <v>0</v>
      </c>
    </row>
    <row r="358" spans="1:12" ht="24.95" customHeight="1">
      <c r="A358" s="11" t="s">
        <v>92</v>
      </c>
      <c r="B358" s="106" t="s">
        <v>93</v>
      </c>
      <c r="C358" s="106"/>
      <c r="D358" s="11" t="s">
        <v>14</v>
      </c>
      <c r="E358" s="320">
        <f aca="true" t="shared" si="205" ref="E358:F358">SUM(E355)</f>
        <v>0</v>
      </c>
      <c r="F358" s="320">
        <f t="shared" si="205"/>
        <v>2055.6</v>
      </c>
      <c r="G358" s="320">
        <f aca="true" t="shared" si="206" ref="G358:I358">SUM(G355)</f>
        <v>120</v>
      </c>
      <c r="H358" s="320">
        <f t="shared" si="206"/>
        <v>0</v>
      </c>
      <c r="I358" s="320">
        <f t="shared" si="206"/>
        <v>0</v>
      </c>
      <c r="J358" s="338">
        <f t="shared" si="199"/>
        <v>2175.6</v>
      </c>
      <c r="K358" s="60">
        <v>0</v>
      </c>
      <c r="L358" s="62">
        <f t="shared" si="200"/>
        <v>0</v>
      </c>
    </row>
    <row r="359" spans="1:12" ht="24.95" customHeight="1">
      <c r="A359" s="11" t="s">
        <v>33</v>
      </c>
      <c r="B359" s="394" t="s">
        <v>71</v>
      </c>
      <c r="C359" s="394"/>
      <c r="D359" s="11" t="s">
        <v>14</v>
      </c>
      <c r="E359" s="320">
        <f aca="true" t="shared" si="207" ref="E359:F359">SUM(E355)</f>
        <v>0</v>
      </c>
      <c r="F359" s="320">
        <f t="shared" si="207"/>
        <v>2055.6</v>
      </c>
      <c r="G359" s="320">
        <f aca="true" t="shared" si="208" ref="G359:I359">SUM(G355)</f>
        <v>120</v>
      </c>
      <c r="H359" s="320">
        <f t="shared" si="208"/>
        <v>0</v>
      </c>
      <c r="I359" s="320">
        <f t="shared" si="208"/>
        <v>0</v>
      </c>
      <c r="J359" s="338">
        <f t="shared" si="199"/>
        <v>2175.6</v>
      </c>
      <c r="K359" s="60">
        <v>0</v>
      </c>
      <c r="L359" s="62">
        <f t="shared" si="200"/>
        <v>0</v>
      </c>
    </row>
    <row r="360" spans="1:12" ht="24.95" customHeight="1">
      <c r="A360" s="11" t="s">
        <v>91</v>
      </c>
      <c r="B360" s="488" t="s">
        <v>202</v>
      </c>
      <c r="C360" s="468"/>
      <c r="D360" s="11" t="s">
        <v>15</v>
      </c>
      <c r="E360" s="317">
        <f aca="true" t="shared" si="209" ref="E360:F360">E355*0.01</f>
        <v>0</v>
      </c>
      <c r="F360" s="317">
        <f t="shared" si="209"/>
        <v>20.556</v>
      </c>
      <c r="G360" s="317">
        <f aca="true" t="shared" si="210" ref="G360:I360">G355*0.01</f>
        <v>1.2</v>
      </c>
      <c r="H360" s="317">
        <f t="shared" si="210"/>
        <v>0</v>
      </c>
      <c r="I360" s="317">
        <f t="shared" si="210"/>
        <v>0</v>
      </c>
      <c r="J360" s="338">
        <f t="shared" si="199"/>
        <v>21.756</v>
      </c>
      <c r="K360" s="60">
        <v>0</v>
      </c>
      <c r="L360" s="62">
        <f t="shared" si="200"/>
        <v>0</v>
      </c>
    </row>
    <row r="361" spans="1:12" ht="24.95" customHeight="1">
      <c r="A361" s="41" t="s">
        <v>204</v>
      </c>
      <c r="B361" s="448" t="s">
        <v>203</v>
      </c>
      <c r="C361" s="407"/>
      <c r="D361" s="35" t="s">
        <v>14</v>
      </c>
      <c r="E361" s="320">
        <f aca="true" t="shared" si="211" ref="E361:F361">SUM(E355)</f>
        <v>0</v>
      </c>
      <c r="F361" s="320">
        <f t="shared" si="211"/>
        <v>2055.6</v>
      </c>
      <c r="G361" s="320">
        <f aca="true" t="shared" si="212" ref="G361:I361">SUM(G355)</f>
        <v>120</v>
      </c>
      <c r="H361" s="320">
        <f t="shared" si="212"/>
        <v>0</v>
      </c>
      <c r="I361" s="320">
        <f t="shared" si="212"/>
        <v>0</v>
      </c>
      <c r="J361" s="338">
        <f t="shared" si="199"/>
        <v>2175.6</v>
      </c>
      <c r="K361" s="60">
        <v>0</v>
      </c>
      <c r="L361" s="62">
        <f t="shared" si="200"/>
        <v>0</v>
      </c>
    </row>
    <row r="362" spans="1:12" ht="24.95" customHeight="1">
      <c r="A362" s="11" t="s">
        <v>28</v>
      </c>
      <c r="B362" s="448" t="s">
        <v>275</v>
      </c>
      <c r="C362" s="407"/>
      <c r="D362" s="11" t="s">
        <v>18</v>
      </c>
      <c r="E362" s="332">
        <f aca="true" t="shared" si="213" ref="E362:I362">0*0.006</f>
        <v>0</v>
      </c>
      <c r="F362" s="332">
        <f>2055.6*0.012</f>
        <v>24.6672</v>
      </c>
      <c r="G362" s="332">
        <f>120*0.012</f>
        <v>1.44</v>
      </c>
      <c r="H362" s="332">
        <f t="shared" si="213"/>
        <v>0</v>
      </c>
      <c r="I362" s="332">
        <f t="shared" si="213"/>
        <v>0</v>
      </c>
      <c r="J362" s="338">
        <f t="shared" si="199"/>
        <v>26.107200000000002</v>
      </c>
      <c r="K362" s="60">
        <v>0</v>
      </c>
      <c r="L362" s="62">
        <f t="shared" si="200"/>
        <v>0</v>
      </c>
    </row>
    <row r="363" spans="1:12" ht="24.95" customHeight="1">
      <c r="A363" s="35" t="s">
        <v>193</v>
      </c>
      <c r="B363" s="468" t="s">
        <v>194</v>
      </c>
      <c r="C363" s="468"/>
      <c r="D363" s="35" t="s">
        <v>14</v>
      </c>
      <c r="E363" s="320">
        <f aca="true" t="shared" si="214" ref="E363:F363">SUM(E355)</f>
        <v>0</v>
      </c>
      <c r="F363" s="320">
        <f t="shared" si="214"/>
        <v>2055.6</v>
      </c>
      <c r="G363" s="320">
        <f aca="true" t="shared" si="215" ref="G363:I363">SUM(G355)</f>
        <v>120</v>
      </c>
      <c r="H363" s="320">
        <f t="shared" si="215"/>
        <v>0</v>
      </c>
      <c r="I363" s="320">
        <f t="shared" si="215"/>
        <v>0</v>
      </c>
      <c r="J363" s="338">
        <f t="shared" si="199"/>
        <v>2175.6</v>
      </c>
      <c r="K363" s="60">
        <v>0</v>
      </c>
      <c r="L363" s="62">
        <f t="shared" si="200"/>
        <v>0</v>
      </c>
    </row>
    <row r="364" spans="1:12" ht="32.25" customHeight="1">
      <c r="A364" s="11" t="s">
        <v>205</v>
      </c>
      <c r="B364" s="468" t="s">
        <v>356</v>
      </c>
      <c r="C364" s="469"/>
      <c r="D364" s="11" t="s">
        <v>14</v>
      </c>
      <c r="E364" s="320">
        <v>0</v>
      </c>
      <c r="F364" s="320">
        <f>F355</f>
        <v>2055.6</v>
      </c>
      <c r="G364" s="320">
        <f>G355</f>
        <v>120</v>
      </c>
      <c r="H364" s="320">
        <v>0</v>
      </c>
      <c r="I364" s="320">
        <v>0</v>
      </c>
      <c r="J364" s="338">
        <f t="shared" si="199"/>
        <v>2175.6</v>
      </c>
      <c r="K364" s="60">
        <v>0</v>
      </c>
      <c r="L364" s="62">
        <f t="shared" si="200"/>
        <v>0</v>
      </c>
    </row>
    <row r="365" spans="1:12" ht="24.95" customHeight="1">
      <c r="A365" s="35" t="s">
        <v>28</v>
      </c>
      <c r="B365" s="468" t="s">
        <v>357</v>
      </c>
      <c r="C365" s="468"/>
      <c r="D365" s="11" t="s">
        <v>18</v>
      </c>
      <c r="E365" s="320">
        <f aca="true" t="shared" si="216" ref="E365">SUM(E363*250/10000)</f>
        <v>0</v>
      </c>
      <c r="F365" s="320">
        <f>SUM(F363*250/10000)</f>
        <v>51.39</v>
      </c>
      <c r="G365" s="320">
        <f>SUM(G363*250/10000)</f>
        <v>3</v>
      </c>
      <c r="H365" s="320">
        <f aca="true" t="shared" si="217" ref="H365:I365">SUM(H363*250/10000)</f>
        <v>0</v>
      </c>
      <c r="I365" s="320">
        <f t="shared" si="217"/>
        <v>0</v>
      </c>
      <c r="J365" s="338">
        <f t="shared" si="199"/>
        <v>54.39</v>
      </c>
      <c r="K365" s="60">
        <v>0</v>
      </c>
      <c r="L365" s="62">
        <f t="shared" si="200"/>
        <v>0</v>
      </c>
    </row>
    <row r="366" spans="1:12" ht="24.95" customHeight="1">
      <c r="A366" s="41" t="s">
        <v>208</v>
      </c>
      <c r="B366" s="488" t="s">
        <v>207</v>
      </c>
      <c r="C366" s="468"/>
      <c r="D366" s="35" t="s">
        <v>14</v>
      </c>
      <c r="E366" s="331">
        <f aca="true" t="shared" si="218" ref="E366:F366">SUM(E355)</f>
        <v>0</v>
      </c>
      <c r="F366" s="331">
        <f t="shared" si="218"/>
        <v>2055.6</v>
      </c>
      <c r="G366" s="331">
        <f aca="true" t="shared" si="219" ref="G366:I366">SUM(G355)</f>
        <v>120</v>
      </c>
      <c r="H366" s="331">
        <f t="shared" si="219"/>
        <v>0</v>
      </c>
      <c r="I366" s="331">
        <f t="shared" si="219"/>
        <v>0</v>
      </c>
      <c r="J366" s="338">
        <f t="shared" si="199"/>
        <v>2175.6</v>
      </c>
      <c r="K366" s="60">
        <v>0</v>
      </c>
      <c r="L366" s="62">
        <f t="shared" si="200"/>
        <v>0</v>
      </c>
    </row>
    <row r="367" spans="1:41" s="74" customFormat="1" ht="24.95" customHeight="1">
      <c r="A367" s="73" t="s">
        <v>27</v>
      </c>
      <c r="B367" s="449" t="s">
        <v>509</v>
      </c>
      <c r="C367" s="450"/>
      <c r="D367" s="73" t="s">
        <v>23</v>
      </c>
      <c r="E367" s="315">
        <f aca="true" t="shared" si="220" ref="E367:I367">E355*0.001</f>
        <v>0</v>
      </c>
      <c r="F367" s="315">
        <f t="shared" si="220"/>
        <v>2.0556</v>
      </c>
      <c r="G367" s="315">
        <f t="shared" si="220"/>
        <v>0.12</v>
      </c>
      <c r="H367" s="315">
        <f t="shared" si="220"/>
        <v>0</v>
      </c>
      <c r="I367" s="315">
        <f t="shared" si="220"/>
        <v>0</v>
      </c>
      <c r="J367" s="338">
        <f t="shared" si="199"/>
        <v>2.1756</v>
      </c>
      <c r="K367" s="60">
        <v>0</v>
      </c>
      <c r="L367" s="118">
        <f t="shared" si="200"/>
        <v>0</v>
      </c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138"/>
      <c r="AC367" s="138"/>
      <c r="AD367" s="138"/>
      <c r="AE367" s="138"/>
      <c r="AF367" s="138"/>
      <c r="AG367" s="138"/>
      <c r="AH367" s="138"/>
      <c r="AI367" s="138"/>
      <c r="AJ367" s="138"/>
      <c r="AK367" s="138"/>
      <c r="AL367" s="138"/>
      <c r="AM367" s="138"/>
      <c r="AN367" s="138"/>
      <c r="AO367" s="138"/>
    </row>
    <row r="368" spans="1:12" ht="24.95" customHeight="1">
      <c r="A368" s="35"/>
      <c r="B368" s="498" t="s">
        <v>195</v>
      </c>
      <c r="C368" s="498"/>
      <c r="D368" s="39"/>
      <c r="E368" s="243"/>
      <c r="F368" s="243"/>
      <c r="G368" s="243"/>
      <c r="H368" s="243"/>
      <c r="I368" s="243"/>
      <c r="J368" s="237"/>
      <c r="K368" s="23"/>
      <c r="L368" s="66">
        <f>SUM(L355:L367)</f>
        <v>0</v>
      </c>
    </row>
    <row r="369" spans="1:41" s="6" customFormat="1" ht="35.1" customHeight="1">
      <c r="A369" s="364"/>
      <c r="B369" s="499" t="s">
        <v>464</v>
      </c>
      <c r="C369" s="499"/>
      <c r="D369" s="499"/>
      <c r="E369" s="499"/>
      <c r="F369" s="499"/>
      <c r="G369" s="499"/>
      <c r="H369" s="499"/>
      <c r="I369" s="499"/>
      <c r="J369" s="499"/>
      <c r="K369" s="499"/>
      <c r="L369" s="365">
        <f>SUM(L368,L351,L331,L299,L285,L253,L247)</f>
        <v>0</v>
      </c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</row>
    <row r="370" spans="1:41" s="56" customFormat="1" ht="35.1" customHeight="1">
      <c r="A370" s="124"/>
      <c r="B370" s="489" t="s">
        <v>166</v>
      </c>
      <c r="C370" s="489"/>
      <c r="D370" s="489"/>
      <c r="E370" s="489"/>
      <c r="F370" s="489"/>
      <c r="G370" s="489"/>
      <c r="H370" s="489"/>
      <c r="I370" s="489"/>
      <c r="J370" s="489"/>
      <c r="K370" s="489"/>
      <c r="L370" s="489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</row>
    <row r="371" spans="1:41" s="31" customFormat="1" ht="24.95" customHeight="1">
      <c r="A371" s="396"/>
      <c r="B371" s="397" t="s">
        <v>7</v>
      </c>
      <c r="C371" s="397"/>
      <c r="D371" s="397" t="s">
        <v>221</v>
      </c>
      <c r="E371" s="398" t="s">
        <v>115</v>
      </c>
      <c r="F371" s="398"/>
      <c r="G371" s="398"/>
      <c r="H371" s="398"/>
      <c r="I371" s="398"/>
      <c r="J371" s="398"/>
      <c r="K371" s="399" t="s">
        <v>4</v>
      </c>
      <c r="L371" s="400" t="s">
        <v>116</v>
      </c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</row>
    <row r="372" spans="1:41" s="6" customFormat="1" ht="24.95" customHeight="1">
      <c r="A372" s="396"/>
      <c r="B372" s="397"/>
      <c r="C372" s="397"/>
      <c r="D372" s="397"/>
      <c r="E372" s="267" t="s">
        <v>276</v>
      </c>
      <c r="F372" s="267" t="s">
        <v>277</v>
      </c>
      <c r="G372" s="267" t="s">
        <v>383</v>
      </c>
      <c r="H372" s="267" t="s">
        <v>384</v>
      </c>
      <c r="I372" s="267" t="s">
        <v>385</v>
      </c>
      <c r="J372" s="270" t="s">
        <v>8</v>
      </c>
      <c r="K372" s="399"/>
      <c r="L372" s="400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</row>
    <row r="373" spans="1:41" s="36" customFormat="1" ht="24.95" customHeight="1">
      <c r="A373" s="35"/>
      <c r="B373" s="487" t="s">
        <v>167</v>
      </c>
      <c r="C373" s="487"/>
      <c r="D373" s="487"/>
      <c r="E373" s="487"/>
      <c r="F373" s="487"/>
      <c r="G373" s="487"/>
      <c r="H373" s="487"/>
      <c r="I373" s="487"/>
      <c r="J373" s="487"/>
      <c r="K373" s="487"/>
      <c r="L373" s="487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</row>
    <row r="374" spans="1:41" s="36" customFormat="1" ht="24.95" customHeight="1">
      <c r="A374" s="41" t="s">
        <v>27</v>
      </c>
      <c r="B374" s="448" t="s">
        <v>503</v>
      </c>
      <c r="C374" s="407"/>
      <c r="D374" s="11" t="s">
        <v>15</v>
      </c>
      <c r="E374" s="320">
        <f>E304*8*0.1</f>
        <v>14.4</v>
      </c>
      <c r="F374" s="320">
        <f aca="true" t="shared" si="221" ref="F374:I374">F304*8*0.1</f>
        <v>20</v>
      </c>
      <c r="G374" s="320">
        <f t="shared" si="221"/>
        <v>0</v>
      </c>
      <c r="H374" s="320">
        <f t="shared" si="221"/>
        <v>4.800000000000001</v>
      </c>
      <c r="I374" s="320">
        <f t="shared" si="221"/>
        <v>5.6000000000000005</v>
      </c>
      <c r="J374" s="338">
        <f aca="true" t="shared" si="222" ref="J374:J379">SUM(E374:I374)</f>
        <v>44.800000000000004</v>
      </c>
      <c r="K374" s="60">
        <v>0</v>
      </c>
      <c r="L374" s="67">
        <f>K374*J374</f>
        <v>0</v>
      </c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</row>
    <row r="375" spans="1:41" s="36" customFormat="1" ht="24.95" customHeight="1">
      <c r="A375" s="29" t="s">
        <v>245</v>
      </c>
      <c r="B375" s="393" t="s">
        <v>246</v>
      </c>
      <c r="C375" s="393"/>
      <c r="D375" s="59" t="s">
        <v>15</v>
      </c>
      <c r="E375" s="320">
        <f aca="true" t="shared" si="223" ref="E375:F375">E374</f>
        <v>14.4</v>
      </c>
      <c r="F375" s="320">
        <f t="shared" si="223"/>
        <v>20</v>
      </c>
      <c r="G375" s="320">
        <f aca="true" t="shared" si="224" ref="G375:I375">G374</f>
        <v>0</v>
      </c>
      <c r="H375" s="320">
        <f t="shared" si="224"/>
        <v>4.800000000000001</v>
      </c>
      <c r="I375" s="320">
        <f t="shared" si="224"/>
        <v>5.6000000000000005</v>
      </c>
      <c r="J375" s="338">
        <f t="shared" si="222"/>
        <v>44.800000000000004</v>
      </c>
      <c r="K375" s="60">
        <v>0</v>
      </c>
      <c r="L375" s="67">
        <f aca="true" t="shared" si="225" ref="L375:L379">K375*J375</f>
        <v>0</v>
      </c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</row>
    <row r="376" spans="1:41" s="36" customFormat="1" ht="24.95" customHeight="1">
      <c r="A376" s="35" t="s">
        <v>230</v>
      </c>
      <c r="B376" s="404" t="s">
        <v>155</v>
      </c>
      <c r="C376" s="404"/>
      <c r="D376" s="11" t="s">
        <v>9</v>
      </c>
      <c r="E376" s="320">
        <f aca="true" t="shared" si="226" ref="E376:I376">E304/2</f>
        <v>9</v>
      </c>
      <c r="F376" s="320">
        <f t="shared" si="226"/>
        <v>12.5</v>
      </c>
      <c r="G376" s="320">
        <f t="shared" si="226"/>
        <v>0</v>
      </c>
      <c r="H376" s="320">
        <f t="shared" si="226"/>
        <v>3</v>
      </c>
      <c r="I376" s="320">
        <f t="shared" si="226"/>
        <v>3.5</v>
      </c>
      <c r="J376" s="338">
        <f t="shared" si="222"/>
        <v>28</v>
      </c>
      <c r="K376" s="60">
        <v>0</v>
      </c>
      <c r="L376" s="67">
        <f t="shared" si="225"/>
        <v>0</v>
      </c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</row>
    <row r="377" spans="1:41" s="36" customFormat="1" ht="24.95" customHeight="1">
      <c r="A377" s="11" t="s">
        <v>64</v>
      </c>
      <c r="B377" s="407" t="s">
        <v>147</v>
      </c>
      <c r="C377" s="407"/>
      <c r="D377" s="11" t="s">
        <v>14</v>
      </c>
      <c r="E377" s="320">
        <f aca="true" t="shared" si="227" ref="E377:I377">E304</f>
        <v>18</v>
      </c>
      <c r="F377" s="320">
        <f t="shared" si="227"/>
        <v>25</v>
      </c>
      <c r="G377" s="320">
        <f t="shared" si="227"/>
        <v>0</v>
      </c>
      <c r="H377" s="320">
        <f t="shared" si="227"/>
        <v>6</v>
      </c>
      <c r="I377" s="320">
        <f t="shared" si="227"/>
        <v>7</v>
      </c>
      <c r="J377" s="338">
        <f t="shared" si="222"/>
        <v>56</v>
      </c>
      <c r="K377" s="60">
        <v>0</v>
      </c>
      <c r="L377" s="67">
        <f t="shared" si="225"/>
        <v>0</v>
      </c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</row>
    <row r="378" spans="1:41" s="36" customFormat="1" ht="24.95" customHeight="1">
      <c r="A378" s="11" t="s">
        <v>28</v>
      </c>
      <c r="B378" s="403" t="s">
        <v>190</v>
      </c>
      <c r="C378" s="404"/>
      <c r="D378" s="11" t="s">
        <v>15</v>
      </c>
      <c r="E378" s="320">
        <f aca="true" t="shared" si="228" ref="E378:I378">E304*0.1</f>
        <v>1.8</v>
      </c>
      <c r="F378" s="320">
        <f t="shared" si="228"/>
        <v>2.5</v>
      </c>
      <c r="G378" s="320">
        <f t="shared" si="228"/>
        <v>0</v>
      </c>
      <c r="H378" s="320">
        <f t="shared" si="228"/>
        <v>0.6000000000000001</v>
      </c>
      <c r="I378" s="320">
        <f t="shared" si="228"/>
        <v>0.7000000000000001</v>
      </c>
      <c r="J378" s="338">
        <f t="shared" si="222"/>
        <v>5.6000000000000005</v>
      </c>
      <c r="K378" s="60">
        <v>0</v>
      </c>
      <c r="L378" s="67">
        <f t="shared" si="225"/>
        <v>0</v>
      </c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</row>
    <row r="379" spans="1:41" s="36" customFormat="1" ht="24.95" customHeight="1">
      <c r="A379" s="35" t="s">
        <v>231</v>
      </c>
      <c r="B379" s="407" t="s">
        <v>232</v>
      </c>
      <c r="C379" s="407"/>
      <c r="D379" s="11" t="s">
        <v>14</v>
      </c>
      <c r="E379" s="320">
        <f aca="true" t="shared" si="229" ref="E379:I379">E304*2</f>
        <v>36</v>
      </c>
      <c r="F379" s="320">
        <f t="shared" si="229"/>
        <v>50</v>
      </c>
      <c r="G379" s="320">
        <f t="shared" si="229"/>
        <v>0</v>
      </c>
      <c r="H379" s="320">
        <f t="shared" si="229"/>
        <v>12</v>
      </c>
      <c r="I379" s="320">
        <f t="shared" si="229"/>
        <v>14</v>
      </c>
      <c r="J379" s="338">
        <f t="shared" si="222"/>
        <v>112</v>
      </c>
      <c r="K379" s="60">
        <v>0</v>
      </c>
      <c r="L379" s="67">
        <f t="shared" si="225"/>
        <v>0</v>
      </c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</row>
    <row r="380" spans="1:41" s="36" customFormat="1" ht="24.95" customHeight="1">
      <c r="A380" s="18"/>
      <c r="B380" s="439" t="s">
        <v>169</v>
      </c>
      <c r="C380" s="439"/>
      <c r="D380" s="37"/>
      <c r="E380" s="245"/>
      <c r="F380" s="245"/>
      <c r="G380" s="245"/>
      <c r="H380" s="245"/>
      <c r="I380" s="245"/>
      <c r="J380" s="245"/>
      <c r="K380" s="38"/>
      <c r="L380" s="63">
        <f>SUM(L374:L379)</f>
        <v>0</v>
      </c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</row>
    <row r="381" spans="1:41" s="351" customFormat="1" ht="24.95" customHeight="1">
      <c r="A381" s="323"/>
      <c r="B381" s="492" t="s">
        <v>170</v>
      </c>
      <c r="C381" s="492"/>
      <c r="D381" s="492"/>
      <c r="E381" s="492"/>
      <c r="F381" s="492"/>
      <c r="G381" s="492"/>
      <c r="H381" s="492"/>
      <c r="I381" s="492"/>
      <c r="J381" s="492"/>
      <c r="K381" s="492"/>
      <c r="L381" s="492"/>
      <c r="M381" s="350"/>
      <c r="N381" s="350"/>
      <c r="O381" s="350"/>
      <c r="P381" s="350"/>
      <c r="Q381" s="350"/>
      <c r="R381" s="350"/>
      <c r="S381" s="350"/>
      <c r="T381" s="350"/>
      <c r="U381" s="350"/>
      <c r="V381" s="350"/>
      <c r="W381" s="350"/>
      <c r="X381" s="350"/>
      <c r="Y381" s="350"/>
      <c r="Z381" s="350"/>
      <c r="AA381" s="350"/>
      <c r="AB381" s="350"/>
      <c r="AC381" s="350"/>
      <c r="AD381" s="350"/>
      <c r="AE381" s="350"/>
      <c r="AF381" s="350"/>
      <c r="AG381" s="350"/>
      <c r="AH381" s="350"/>
      <c r="AI381" s="350"/>
      <c r="AJ381" s="350"/>
      <c r="AK381" s="350"/>
      <c r="AL381" s="350"/>
      <c r="AM381" s="350"/>
      <c r="AN381" s="350"/>
      <c r="AO381" s="350"/>
    </row>
    <row r="382" spans="1:41" s="351" customFormat="1" ht="24.95" customHeight="1">
      <c r="A382" s="266" t="s">
        <v>149</v>
      </c>
      <c r="B382" s="462" t="s">
        <v>150</v>
      </c>
      <c r="C382" s="462"/>
      <c r="D382" s="265" t="s">
        <v>15</v>
      </c>
      <c r="E382" s="320">
        <f>(E277+E281)*12*0.02</f>
        <v>50.64</v>
      </c>
      <c r="F382" s="320">
        <f aca="true" t="shared" si="230" ref="F382:I382">(F277+F281)*12*0.02</f>
        <v>0</v>
      </c>
      <c r="G382" s="320">
        <f t="shared" si="230"/>
        <v>26.400000000000002</v>
      </c>
      <c r="H382" s="320">
        <f t="shared" si="230"/>
        <v>254.064</v>
      </c>
      <c r="I382" s="320">
        <f t="shared" si="230"/>
        <v>0</v>
      </c>
      <c r="J382" s="338">
        <f>SUM(E382:I382)</f>
        <v>331.104</v>
      </c>
      <c r="K382" s="60">
        <v>0</v>
      </c>
      <c r="L382" s="304">
        <f>K382*J382</f>
        <v>0</v>
      </c>
      <c r="M382" s="350"/>
      <c r="N382" s="350"/>
      <c r="O382" s="350"/>
      <c r="P382" s="350"/>
      <c r="Q382" s="350"/>
      <c r="R382" s="350"/>
      <c r="S382" s="350"/>
      <c r="T382" s="350"/>
      <c r="U382" s="350"/>
      <c r="V382" s="350"/>
      <c r="W382" s="350"/>
      <c r="X382" s="350"/>
      <c r="Y382" s="350"/>
      <c r="Z382" s="350"/>
      <c r="AA382" s="350"/>
      <c r="AB382" s="350"/>
      <c r="AC382" s="350"/>
      <c r="AD382" s="350"/>
      <c r="AE382" s="350"/>
      <c r="AF382" s="350"/>
      <c r="AG382" s="350"/>
      <c r="AH382" s="350"/>
      <c r="AI382" s="350"/>
      <c r="AJ382" s="350"/>
      <c r="AK382" s="350"/>
      <c r="AL382" s="350"/>
      <c r="AM382" s="350"/>
      <c r="AN382" s="350"/>
      <c r="AO382" s="350"/>
    </row>
    <row r="383" spans="1:41" s="351" customFormat="1" ht="24.95" customHeight="1">
      <c r="A383" s="265" t="s">
        <v>245</v>
      </c>
      <c r="B383" s="471" t="s">
        <v>246</v>
      </c>
      <c r="C383" s="471"/>
      <c r="D383" s="352" t="s">
        <v>15</v>
      </c>
      <c r="E383" s="320">
        <f aca="true" t="shared" si="231" ref="E383:I383">E382</f>
        <v>50.64</v>
      </c>
      <c r="F383" s="320">
        <f t="shared" si="231"/>
        <v>0</v>
      </c>
      <c r="G383" s="320">
        <f t="shared" si="231"/>
        <v>26.400000000000002</v>
      </c>
      <c r="H383" s="320">
        <f t="shared" si="231"/>
        <v>254.064</v>
      </c>
      <c r="I383" s="320">
        <f t="shared" si="231"/>
        <v>0</v>
      </c>
      <c r="J383" s="338">
        <f>SUM(E383:I383)</f>
        <v>331.104</v>
      </c>
      <c r="K383" s="60">
        <v>0</v>
      </c>
      <c r="L383" s="304">
        <f aca="true" t="shared" si="232" ref="L383:L386">K383*J383</f>
        <v>0</v>
      </c>
      <c r="M383" s="350"/>
      <c r="N383" s="350"/>
      <c r="O383" s="350"/>
      <c r="P383" s="350"/>
      <c r="Q383" s="350"/>
      <c r="R383" s="350"/>
      <c r="S383" s="350"/>
      <c r="T383" s="350"/>
      <c r="U383" s="350"/>
      <c r="V383" s="350"/>
      <c r="W383" s="350"/>
      <c r="X383" s="350"/>
      <c r="Y383" s="350"/>
      <c r="Z383" s="350"/>
      <c r="AA383" s="350"/>
      <c r="AB383" s="350"/>
      <c r="AC383" s="350"/>
      <c r="AD383" s="350"/>
      <c r="AE383" s="350"/>
      <c r="AF383" s="350"/>
      <c r="AG383" s="350"/>
      <c r="AH383" s="350"/>
      <c r="AI383" s="350"/>
      <c r="AJ383" s="350"/>
      <c r="AK383" s="350"/>
      <c r="AL383" s="350"/>
      <c r="AM383" s="350"/>
      <c r="AN383" s="350"/>
      <c r="AO383" s="350"/>
    </row>
    <row r="384" spans="1:41" s="351" customFormat="1" ht="24.95" customHeight="1">
      <c r="A384" s="266" t="s">
        <v>142</v>
      </c>
      <c r="B384" s="437" t="s">
        <v>168</v>
      </c>
      <c r="C384" s="437"/>
      <c r="D384" s="265" t="s">
        <v>14</v>
      </c>
      <c r="E384" s="320">
        <f>(E277+E281)*2</f>
        <v>422</v>
      </c>
      <c r="F384" s="320">
        <f aca="true" t="shared" si="233" ref="F384:I384">(F277+F281)*2</f>
        <v>0</v>
      </c>
      <c r="G384" s="320">
        <f t="shared" si="233"/>
        <v>220</v>
      </c>
      <c r="H384" s="320">
        <f t="shared" si="233"/>
        <v>2117.2</v>
      </c>
      <c r="I384" s="320">
        <f t="shared" si="233"/>
        <v>0</v>
      </c>
      <c r="J384" s="338">
        <f>SUM(E384:I384)</f>
        <v>2759.2</v>
      </c>
      <c r="K384" s="60">
        <v>0</v>
      </c>
      <c r="L384" s="304">
        <f t="shared" si="232"/>
        <v>0</v>
      </c>
      <c r="M384" s="350"/>
      <c r="N384" s="350"/>
      <c r="O384" s="350"/>
      <c r="P384" s="350"/>
      <c r="Q384" s="350"/>
      <c r="R384" s="350"/>
      <c r="S384" s="350"/>
      <c r="T384" s="350"/>
      <c r="U384" s="350"/>
      <c r="V384" s="350"/>
      <c r="W384" s="350"/>
      <c r="X384" s="350"/>
      <c r="Y384" s="350"/>
      <c r="Z384" s="350"/>
      <c r="AA384" s="350"/>
      <c r="AB384" s="350"/>
      <c r="AC384" s="350"/>
      <c r="AD384" s="350"/>
      <c r="AE384" s="350"/>
      <c r="AF384" s="350"/>
      <c r="AG384" s="350"/>
      <c r="AH384" s="350"/>
      <c r="AI384" s="350"/>
      <c r="AJ384" s="350"/>
      <c r="AK384" s="350"/>
      <c r="AL384" s="350"/>
      <c r="AM384" s="350"/>
      <c r="AN384" s="350"/>
      <c r="AO384" s="350"/>
    </row>
    <row r="385" spans="1:41" s="351" customFormat="1" ht="24.95" customHeight="1">
      <c r="A385" s="265" t="s">
        <v>29</v>
      </c>
      <c r="B385" s="437" t="s">
        <v>151</v>
      </c>
      <c r="C385" s="437"/>
      <c r="D385" s="265" t="s">
        <v>14</v>
      </c>
      <c r="E385" s="320">
        <f>(E277)</f>
        <v>91</v>
      </c>
      <c r="F385" s="320">
        <f aca="true" t="shared" si="234" ref="F385:I385">(F277)</f>
        <v>0</v>
      </c>
      <c r="G385" s="320">
        <f t="shared" si="234"/>
        <v>110</v>
      </c>
      <c r="H385" s="320">
        <f t="shared" si="234"/>
        <v>29</v>
      </c>
      <c r="I385" s="320">
        <f t="shared" si="234"/>
        <v>0</v>
      </c>
      <c r="J385" s="338">
        <f>SUM(E385:I385)</f>
        <v>230</v>
      </c>
      <c r="K385" s="60">
        <v>0</v>
      </c>
      <c r="L385" s="304">
        <f t="shared" si="232"/>
        <v>0</v>
      </c>
      <c r="M385" s="350"/>
      <c r="N385" s="350"/>
      <c r="O385" s="350"/>
      <c r="P385" s="350"/>
      <c r="Q385" s="350"/>
      <c r="R385" s="350"/>
      <c r="S385" s="350"/>
      <c r="T385" s="350"/>
      <c r="U385" s="350"/>
      <c r="V385" s="350"/>
      <c r="W385" s="350"/>
      <c r="X385" s="350"/>
      <c r="Y385" s="350"/>
      <c r="Z385" s="350"/>
      <c r="AA385" s="350"/>
      <c r="AB385" s="350"/>
      <c r="AC385" s="350"/>
      <c r="AD385" s="350"/>
      <c r="AE385" s="350"/>
      <c r="AF385" s="350"/>
      <c r="AG385" s="350"/>
      <c r="AH385" s="350"/>
      <c r="AI385" s="350"/>
      <c r="AJ385" s="350"/>
      <c r="AK385" s="350"/>
      <c r="AL385" s="350"/>
      <c r="AM385" s="350"/>
      <c r="AN385" s="350"/>
      <c r="AO385" s="350"/>
    </row>
    <row r="386" spans="1:41" s="351" customFormat="1" ht="24.95" customHeight="1">
      <c r="A386" s="265" t="s">
        <v>28</v>
      </c>
      <c r="B386" s="437" t="s">
        <v>191</v>
      </c>
      <c r="C386" s="437"/>
      <c r="D386" s="265" t="s">
        <v>15</v>
      </c>
      <c r="E386" s="320">
        <f>(E277)*0.1</f>
        <v>9.1</v>
      </c>
      <c r="F386" s="320">
        <f aca="true" t="shared" si="235" ref="F386:I386">(F277)*0.1</f>
        <v>0</v>
      </c>
      <c r="G386" s="320">
        <f t="shared" si="235"/>
        <v>11</v>
      </c>
      <c r="H386" s="320">
        <f t="shared" si="235"/>
        <v>2.9000000000000004</v>
      </c>
      <c r="I386" s="320">
        <f t="shared" si="235"/>
        <v>0</v>
      </c>
      <c r="J386" s="338">
        <f>SUM(E386:I386)</f>
        <v>23</v>
      </c>
      <c r="K386" s="60">
        <v>0</v>
      </c>
      <c r="L386" s="304">
        <f t="shared" si="232"/>
        <v>0</v>
      </c>
      <c r="M386" s="350"/>
      <c r="N386" s="350"/>
      <c r="O386" s="350"/>
      <c r="P386" s="350"/>
      <c r="Q386" s="350"/>
      <c r="R386" s="350"/>
      <c r="S386" s="350"/>
      <c r="T386" s="350"/>
      <c r="U386" s="350"/>
      <c r="V386" s="350"/>
      <c r="W386" s="350"/>
      <c r="X386" s="350"/>
      <c r="Y386" s="350"/>
      <c r="Z386" s="350"/>
      <c r="AA386" s="350"/>
      <c r="AB386" s="350"/>
      <c r="AC386" s="350"/>
      <c r="AD386" s="350"/>
      <c r="AE386" s="350"/>
      <c r="AF386" s="350"/>
      <c r="AG386" s="350"/>
      <c r="AH386" s="350"/>
      <c r="AI386" s="350"/>
      <c r="AJ386" s="350"/>
      <c r="AK386" s="350"/>
      <c r="AL386" s="350"/>
      <c r="AM386" s="350"/>
      <c r="AN386" s="350"/>
      <c r="AO386" s="350"/>
    </row>
    <row r="387" spans="1:41" s="351" customFormat="1" ht="24.95" customHeight="1">
      <c r="A387" s="266"/>
      <c r="B387" s="467" t="s">
        <v>171</v>
      </c>
      <c r="C387" s="467"/>
      <c r="D387" s="353"/>
      <c r="E387" s="353"/>
      <c r="F387" s="353"/>
      <c r="G387" s="353"/>
      <c r="H387" s="353"/>
      <c r="I387" s="353"/>
      <c r="J387" s="353"/>
      <c r="K387" s="354"/>
      <c r="L387" s="355">
        <f>SUM(L382:L386)</f>
        <v>0</v>
      </c>
      <c r="M387" s="350"/>
      <c r="N387" s="350"/>
      <c r="O387" s="350"/>
      <c r="P387" s="350"/>
      <c r="Q387" s="350"/>
      <c r="R387" s="350"/>
      <c r="S387" s="350"/>
      <c r="T387" s="350"/>
      <c r="U387" s="350"/>
      <c r="V387" s="350"/>
      <c r="W387" s="350"/>
      <c r="X387" s="350"/>
      <c r="Y387" s="350"/>
      <c r="Z387" s="350"/>
      <c r="AA387" s="350"/>
      <c r="AB387" s="350"/>
      <c r="AC387" s="350"/>
      <c r="AD387" s="350"/>
      <c r="AE387" s="350"/>
      <c r="AF387" s="350"/>
      <c r="AG387" s="350"/>
      <c r="AH387" s="350"/>
      <c r="AI387" s="350"/>
      <c r="AJ387" s="350"/>
      <c r="AK387" s="350"/>
      <c r="AL387" s="350"/>
      <c r="AM387" s="350"/>
      <c r="AN387" s="350"/>
      <c r="AO387" s="350"/>
    </row>
    <row r="388" spans="1:41" s="359" customFormat="1" ht="24.95" customHeight="1">
      <c r="A388" s="356" t="s">
        <v>27</v>
      </c>
      <c r="B388" s="490" t="s">
        <v>270</v>
      </c>
      <c r="C388" s="490"/>
      <c r="D388" s="294" t="s">
        <v>269</v>
      </c>
      <c r="E388" s="501">
        <v>1</v>
      </c>
      <c r="F388" s="502"/>
      <c r="G388" s="502"/>
      <c r="H388" s="502"/>
      <c r="I388" s="502"/>
      <c r="J388" s="503"/>
      <c r="K388" s="60">
        <v>0</v>
      </c>
      <c r="L388" s="357">
        <f>E388*K388</f>
        <v>0</v>
      </c>
      <c r="M388" s="358"/>
      <c r="N388" s="358"/>
      <c r="O388" s="358"/>
      <c r="P388" s="358"/>
      <c r="Q388" s="358"/>
      <c r="R388" s="358"/>
      <c r="S388" s="358"/>
      <c r="T388" s="358"/>
      <c r="U388" s="358"/>
      <c r="V388" s="358"/>
      <c r="W388" s="358"/>
      <c r="X388" s="358"/>
      <c r="Y388" s="358"/>
      <c r="Z388" s="358"/>
      <c r="AA388" s="358"/>
      <c r="AB388" s="358"/>
      <c r="AC388" s="358"/>
      <c r="AD388" s="358"/>
      <c r="AE388" s="358"/>
      <c r="AF388" s="358"/>
      <c r="AG388" s="358"/>
      <c r="AH388" s="358"/>
      <c r="AI388" s="358"/>
      <c r="AJ388" s="358"/>
      <c r="AK388" s="358"/>
      <c r="AL388" s="358"/>
      <c r="AM388" s="358"/>
      <c r="AN388" s="358"/>
      <c r="AO388" s="358"/>
    </row>
    <row r="389" spans="1:41" s="54" customFormat="1" ht="35.1" customHeight="1">
      <c r="A389" s="55"/>
      <c r="B389" s="475" t="s">
        <v>172</v>
      </c>
      <c r="C389" s="475"/>
      <c r="D389" s="475"/>
      <c r="E389" s="475"/>
      <c r="F389" s="475"/>
      <c r="G389" s="475"/>
      <c r="H389" s="475"/>
      <c r="I389" s="475"/>
      <c r="J389" s="475"/>
      <c r="K389" s="475"/>
      <c r="L389" s="68">
        <f>SUM(L388,L387,L380)</f>
        <v>0</v>
      </c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</row>
    <row r="390" spans="1:41" s="54" customFormat="1" ht="35.1" customHeight="1">
      <c r="A390" s="125"/>
      <c r="B390" s="489" t="s">
        <v>173</v>
      </c>
      <c r="C390" s="489"/>
      <c r="D390" s="489"/>
      <c r="E390" s="489"/>
      <c r="F390" s="489"/>
      <c r="G390" s="489"/>
      <c r="H390" s="489"/>
      <c r="I390" s="489"/>
      <c r="J390" s="489"/>
      <c r="K390" s="489"/>
      <c r="L390" s="489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</row>
    <row r="391" spans="1:41" s="31" customFormat="1" ht="24.95" customHeight="1">
      <c r="A391" s="396"/>
      <c r="B391" s="397" t="s">
        <v>7</v>
      </c>
      <c r="C391" s="397"/>
      <c r="D391" s="397" t="s">
        <v>221</v>
      </c>
      <c r="E391" s="398" t="s">
        <v>115</v>
      </c>
      <c r="F391" s="398"/>
      <c r="G391" s="398"/>
      <c r="H391" s="398"/>
      <c r="I391" s="398"/>
      <c r="J391" s="398"/>
      <c r="K391" s="399" t="s">
        <v>4</v>
      </c>
      <c r="L391" s="400" t="s">
        <v>116</v>
      </c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</row>
    <row r="392" spans="1:41" s="6" customFormat="1" ht="24.95" customHeight="1">
      <c r="A392" s="396"/>
      <c r="B392" s="397"/>
      <c r="C392" s="397"/>
      <c r="D392" s="397"/>
      <c r="E392" s="267" t="s">
        <v>276</v>
      </c>
      <c r="F392" s="267" t="s">
        <v>277</v>
      </c>
      <c r="G392" s="267" t="s">
        <v>383</v>
      </c>
      <c r="H392" s="267" t="s">
        <v>384</v>
      </c>
      <c r="I392" s="267" t="s">
        <v>385</v>
      </c>
      <c r="J392" s="270" t="s">
        <v>8</v>
      </c>
      <c r="K392" s="399"/>
      <c r="L392" s="400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</row>
    <row r="393" spans="1:41" s="36" customFormat="1" ht="24.95" customHeight="1">
      <c r="A393" s="35"/>
      <c r="B393" s="487" t="s">
        <v>174</v>
      </c>
      <c r="C393" s="487"/>
      <c r="D393" s="487"/>
      <c r="E393" s="487"/>
      <c r="F393" s="487"/>
      <c r="G393" s="487"/>
      <c r="H393" s="487"/>
      <c r="I393" s="487"/>
      <c r="J393" s="487"/>
      <c r="K393" s="487"/>
      <c r="L393" s="487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</row>
    <row r="394" spans="1:41" s="36" customFormat="1" ht="24.95" customHeight="1">
      <c r="A394" s="41" t="s">
        <v>27</v>
      </c>
      <c r="B394" s="448" t="s">
        <v>503</v>
      </c>
      <c r="C394" s="407"/>
      <c r="D394" s="11" t="s">
        <v>15</v>
      </c>
      <c r="E394" s="265">
        <v>14.4</v>
      </c>
      <c r="F394" s="265">
        <v>20</v>
      </c>
      <c r="G394" s="265">
        <v>0</v>
      </c>
      <c r="H394" s="265">
        <v>4.800000000000001</v>
      </c>
      <c r="I394" s="265">
        <v>5.6000000000000005</v>
      </c>
      <c r="J394" s="338">
        <v>44.800000000000004</v>
      </c>
      <c r="K394" s="60">
        <v>0</v>
      </c>
      <c r="L394" s="67">
        <f>K394*J394</f>
        <v>0</v>
      </c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</row>
    <row r="395" spans="1:41" s="36" customFormat="1" ht="24.95" customHeight="1">
      <c r="A395" s="29" t="s">
        <v>245</v>
      </c>
      <c r="B395" s="393" t="s">
        <v>246</v>
      </c>
      <c r="C395" s="393"/>
      <c r="D395" s="59" t="s">
        <v>15</v>
      </c>
      <c r="E395" s="317">
        <v>14.4</v>
      </c>
      <c r="F395" s="317">
        <v>20</v>
      </c>
      <c r="G395" s="317">
        <v>0</v>
      </c>
      <c r="H395" s="317">
        <v>4.800000000000001</v>
      </c>
      <c r="I395" s="317">
        <v>5.6000000000000005</v>
      </c>
      <c r="J395" s="338">
        <v>44.800000000000004</v>
      </c>
      <c r="K395" s="60">
        <v>0</v>
      </c>
      <c r="L395" s="67">
        <f aca="true" t="shared" si="236" ref="L395:L399">K395*J395</f>
        <v>0</v>
      </c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</row>
    <row r="396" spans="1:41" s="36" customFormat="1" ht="24.95" customHeight="1">
      <c r="A396" s="35" t="s">
        <v>146</v>
      </c>
      <c r="B396" s="404" t="s">
        <v>155</v>
      </c>
      <c r="C396" s="404"/>
      <c r="D396" s="11" t="s">
        <v>9</v>
      </c>
      <c r="E396" s="265">
        <v>9</v>
      </c>
      <c r="F396" s="265">
        <v>12.5</v>
      </c>
      <c r="G396" s="265">
        <v>0</v>
      </c>
      <c r="H396" s="265">
        <v>3</v>
      </c>
      <c r="I396" s="265">
        <v>3.5</v>
      </c>
      <c r="J396" s="338">
        <v>28</v>
      </c>
      <c r="K396" s="60">
        <v>0</v>
      </c>
      <c r="L396" s="67">
        <f t="shared" si="236"/>
        <v>0</v>
      </c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</row>
    <row r="397" spans="1:41" s="36" customFormat="1" ht="24.95" customHeight="1">
      <c r="A397" s="11" t="s">
        <v>64</v>
      </c>
      <c r="B397" s="407" t="s">
        <v>147</v>
      </c>
      <c r="C397" s="407"/>
      <c r="D397" s="11" t="s">
        <v>14</v>
      </c>
      <c r="E397" s="265">
        <v>18</v>
      </c>
      <c r="F397" s="265">
        <v>25</v>
      </c>
      <c r="G397" s="265">
        <v>0</v>
      </c>
      <c r="H397" s="265">
        <v>6</v>
      </c>
      <c r="I397" s="265">
        <v>7</v>
      </c>
      <c r="J397" s="338">
        <v>56</v>
      </c>
      <c r="K397" s="60">
        <v>0</v>
      </c>
      <c r="L397" s="67">
        <f t="shared" si="236"/>
        <v>0</v>
      </c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</row>
    <row r="398" spans="1:41" s="36" customFormat="1" ht="24.95" customHeight="1">
      <c r="A398" s="11" t="s">
        <v>28</v>
      </c>
      <c r="B398" s="403" t="s">
        <v>190</v>
      </c>
      <c r="C398" s="404"/>
      <c r="D398" s="11" t="s">
        <v>15</v>
      </c>
      <c r="E398" s="265">
        <v>1.8</v>
      </c>
      <c r="F398" s="265">
        <v>2.5</v>
      </c>
      <c r="G398" s="265">
        <v>0</v>
      </c>
      <c r="H398" s="265">
        <v>0.6000000000000001</v>
      </c>
      <c r="I398" s="265">
        <v>0.7000000000000001</v>
      </c>
      <c r="J398" s="338">
        <v>5.6000000000000005</v>
      </c>
      <c r="K398" s="60">
        <v>0</v>
      </c>
      <c r="L398" s="67">
        <f t="shared" si="236"/>
        <v>0</v>
      </c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</row>
    <row r="399" spans="1:41" s="36" customFormat="1" ht="24.95" customHeight="1">
      <c r="A399" s="35" t="s">
        <v>231</v>
      </c>
      <c r="B399" s="407" t="s">
        <v>232</v>
      </c>
      <c r="C399" s="407"/>
      <c r="D399" s="11" t="s">
        <v>14</v>
      </c>
      <c r="E399" s="265">
        <v>36</v>
      </c>
      <c r="F399" s="265">
        <v>50</v>
      </c>
      <c r="G399" s="265">
        <v>0</v>
      </c>
      <c r="H399" s="265">
        <v>12</v>
      </c>
      <c r="I399" s="265">
        <v>14</v>
      </c>
      <c r="J399" s="338">
        <v>112</v>
      </c>
      <c r="K399" s="60">
        <v>0</v>
      </c>
      <c r="L399" s="67">
        <f t="shared" si="236"/>
        <v>0</v>
      </c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</row>
    <row r="400" spans="1:41" s="36" customFormat="1" ht="24.95" customHeight="1">
      <c r="A400" s="18"/>
      <c r="B400" s="439" t="s">
        <v>175</v>
      </c>
      <c r="C400" s="439"/>
      <c r="D400" s="37"/>
      <c r="E400" s="245"/>
      <c r="F400" s="245"/>
      <c r="G400" s="245"/>
      <c r="H400" s="245"/>
      <c r="I400" s="245"/>
      <c r="J400" s="245"/>
      <c r="K400" s="38"/>
      <c r="L400" s="63">
        <f>SUM(L394:L399)</f>
        <v>0</v>
      </c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</row>
    <row r="401" spans="1:41" s="36" customFormat="1" ht="24.95" customHeight="1">
      <c r="A401" s="18"/>
      <c r="B401" s="491" t="s">
        <v>176</v>
      </c>
      <c r="C401" s="491"/>
      <c r="D401" s="491"/>
      <c r="E401" s="491"/>
      <c r="F401" s="491"/>
      <c r="G401" s="491"/>
      <c r="H401" s="491"/>
      <c r="I401" s="491"/>
      <c r="J401" s="491"/>
      <c r="K401" s="491"/>
      <c r="L401" s="491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</row>
    <row r="402" spans="1:41" s="36" customFormat="1" ht="24.95" customHeight="1">
      <c r="A402" s="35" t="s">
        <v>149</v>
      </c>
      <c r="B402" s="403" t="s">
        <v>150</v>
      </c>
      <c r="C402" s="404"/>
      <c r="D402" s="11" t="s">
        <v>15</v>
      </c>
      <c r="E402" s="265">
        <v>50.64</v>
      </c>
      <c r="F402" s="320">
        <v>0</v>
      </c>
      <c r="G402" s="265">
        <v>26.400000000000002</v>
      </c>
      <c r="H402" s="320">
        <v>254.064</v>
      </c>
      <c r="I402" s="265">
        <v>0</v>
      </c>
      <c r="J402" s="338">
        <f>SUM(E402:I402)</f>
        <v>331.104</v>
      </c>
      <c r="K402" s="60">
        <v>0</v>
      </c>
      <c r="L402" s="67">
        <f>K402*J402</f>
        <v>0</v>
      </c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</row>
    <row r="403" spans="1:41" s="36" customFormat="1" ht="24.95" customHeight="1">
      <c r="A403" s="29" t="s">
        <v>245</v>
      </c>
      <c r="B403" s="393" t="s">
        <v>246</v>
      </c>
      <c r="C403" s="393"/>
      <c r="D403" s="59" t="s">
        <v>15</v>
      </c>
      <c r="E403" s="317">
        <v>50.64</v>
      </c>
      <c r="F403" s="320">
        <v>0</v>
      </c>
      <c r="G403" s="317">
        <v>26.400000000000002</v>
      </c>
      <c r="H403" s="320">
        <v>254.064</v>
      </c>
      <c r="I403" s="317">
        <v>0</v>
      </c>
      <c r="J403" s="338">
        <f>SUM(E403:I403)</f>
        <v>331.104</v>
      </c>
      <c r="K403" s="60">
        <v>0</v>
      </c>
      <c r="L403" s="67">
        <f aca="true" t="shared" si="237" ref="L403:L406">K403*J403</f>
        <v>0</v>
      </c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</row>
    <row r="404" spans="1:41" s="36" customFormat="1" ht="24.95" customHeight="1">
      <c r="A404" s="35" t="s">
        <v>142</v>
      </c>
      <c r="B404" s="448" t="s">
        <v>168</v>
      </c>
      <c r="C404" s="407"/>
      <c r="D404" s="11" t="s">
        <v>14</v>
      </c>
      <c r="E404" s="265">
        <v>422</v>
      </c>
      <c r="F404" s="320">
        <v>0</v>
      </c>
      <c r="G404" s="265">
        <v>220</v>
      </c>
      <c r="H404" s="265">
        <v>2117.2</v>
      </c>
      <c r="I404" s="265">
        <v>0</v>
      </c>
      <c r="J404" s="338">
        <f>SUM(E404:I404)</f>
        <v>2759.2</v>
      </c>
      <c r="K404" s="60">
        <v>0</v>
      </c>
      <c r="L404" s="67">
        <f t="shared" si="237"/>
        <v>0</v>
      </c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</row>
    <row r="405" spans="1:41" s="36" customFormat="1" ht="24.95" customHeight="1">
      <c r="A405" s="11" t="s">
        <v>29</v>
      </c>
      <c r="B405" s="407" t="s">
        <v>151</v>
      </c>
      <c r="C405" s="407"/>
      <c r="D405" s="11" t="s">
        <v>14</v>
      </c>
      <c r="E405" s="265">
        <v>91</v>
      </c>
      <c r="F405" s="320">
        <v>0</v>
      </c>
      <c r="G405" s="265">
        <v>110</v>
      </c>
      <c r="H405" s="265">
        <v>29</v>
      </c>
      <c r="I405" s="265">
        <v>0</v>
      </c>
      <c r="J405" s="338">
        <f>SUM(E405:I405)</f>
        <v>230</v>
      </c>
      <c r="K405" s="60">
        <v>0</v>
      </c>
      <c r="L405" s="67">
        <f t="shared" si="237"/>
        <v>0</v>
      </c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</row>
    <row r="406" spans="1:41" s="36" customFormat="1" ht="24.95" customHeight="1">
      <c r="A406" s="11" t="s">
        <v>28</v>
      </c>
      <c r="B406" s="403" t="s">
        <v>190</v>
      </c>
      <c r="C406" s="404"/>
      <c r="D406" s="11" t="s">
        <v>15</v>
      </c>
      <c r="E406" s="265">
        <v>9.1</v>
      </c>
      <c r="F406" s="320">
        <v>0</v>
      </c>
      <c r="G406" s="265">
        <v>11</v>
      </c>
      <c r="H406" s="265">
        <v>2.9000000000000004</v>
      </c>
      <c r="I406" s="265">
        <v>0</v>
      </c>
      <c r="J406" s="338">
        <f>SUM(E406:I406)</f>
        <v>23</v>
      </c>
      <c r="K406" s="60">
        <v>0</v>
      </c>
      <c r="L406" s="67">
        <f t="shared" si="237"/>
        <v>0</v>
      </c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</row>
    <row r="407" spans="1:41" s="36" customFormat="1" ht="24.95" customHeight="1">
      <c r="A407" s="35"/>
      <c r="B407" s="438" t="s">
        <v>177</v>
      </c>
      <c r="C407" s="438"/>
      <c r="D407" s="37"/>
      <c r="E407" s="245"/>
      <c r="F407" s="245"/>
      <c r="G407" s="245"/>
      <c r="H407" s="245"/>
      <c r="I407" s="245"/>
      <c r="J407" s="245"/>
      <c r="K407" s="38"/>
      <c r="L407" s="63">
        <f>SUM(L402:L406)</f>
        <v>0</v>
      </c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</row>
    <row r="408" spans="1:41" s="50" customFormat="1" ht="24.95" customHeight="1">
      <c r="A408" s="76" t="s">
        <v>27</v>
      </c>
      <c r="B408" s="402" t="s">
        <v>271</v>
      </c>
      <c r="C408" s="402"/>
      <c r="D408" s="73" t="s">
        <v>269</v>
      </c>
      <c r="E408" s="501">
        <v>1</v>
      </c>
      <c r="F408" s="502"/>
      <c r="G408" s="502"/>
      <c r="H408" s="502"/>
      <c r="I408" s="502"/>
      <c r="J408" s="503"/>
      <c r="K408" s="60">
        <v>0</v>
      </c>
      <c r="L408" s="77">
        <f>E408*K408</f>
        <v>0</v>
      </c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</row>
    <row r="409" spans="1:41" s="54" customFormat="1" ht="35.1" customHeight="1">
      <c r="A409" s="55"/>
      <c r="B409" s="475" t="s">
        <v>178</v>
      </c>
      <c r="C409" s="475"/>
      <c r="D409" s="475"/>
      <c r="E409" s="475"/>
      <c r="F409" s="475"/>
      <c r="G409" s="475"/>
      <c r="H409" s="475"/>
      <c r="I409" s="475"/>
      <c r="J409" s="475"/>
      <c r="K409" s="475"/>
      <c r="L409" s="68">
        <f>SUM(L400,L407,L408)</f>
        <v>0</v>
      </c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</row>
    <row r="410" spans="1:41" s="54" customFormat="1" ht="35.1" customHeight="1">
      <c r="A410" s="125"/>
      <c r="B410" s="489" t="s">
        <v>179</v>
      </c>
      <c r="C410" s="489"/>
      <c r="D410" s="489"/>
      <c r="E410" s="489"/>
      <c r="F410" s="489"/>
      <c r="G410" s="489"/>
      <c r="H410" s="489"/>
      <c r="I410" s="489"/>
      <c r="J410" s="489"/>
      <c r="K410" s="489"/>
      <c r="L410" s="489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</row>
    <row r="411" spans="1:41" s="31" customFormat="1" ht="24.95" customHeight="1">
      <c r="A411" s="396"/>
      <c r="B411" s="397" t="s">
        <v>7</v>
      </c>
      <c r="C411" s="397"/>
      <c r="D411" s="397" t="s">
        <v>221</v>
      </c>
      <c r="E411" s="398" t="s">
        <v>115</v>
      </c>
      <c r="F411" s="398"/>
      <c r="G411" s="398"/>
      <c r="H411" s="398"/>
      <c r="I411" s="398"/>
      <c r="J411" s="398"/>
      <c r="K411" s="399" t="s">
        <v>4</v>
      </c>
      <c r="L411" s="400" t="s">
        <v>116</v>
      </c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</row>
    <row r="412" spans="1:41" s="6" customFormat="1" ht="24.95" customHeight="1">
      <c r="A412" s="396"/>
      <c r="B412" s="397"/>
      <c r="C412" s="397"/>
      <c r="D412" s="397"/>
      <c r="E412" s="267" t="s">
        <v>276</v>
      </c>
      <c r="F412" s="267" t="s">
        <v>277</v>
      </c>
      <c r="G412" s="267" t="s">
        <v>383</v>
      </c>
      <c r="H412" s="267" t="s">
        <v>384</v>
      </c>
      <c r="I412" s="267" t="s">
        <v>385</v>
      </c>
      <c r="J412" s="270" t="s">
        <v>8</v>
      </c>
      <c r="K412" s="399"/>
      <c r="L412" s="400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</row>
    <row r="413" spans="1:41" s="36" customFormat="1" ht="24.95" customHeight="1">
      <c r="A413" s="35"/>
      <c r="B413" s="487" t="s">
        <v>187</v>
      </c>
      <c r="C413" s="487"/>
      <c r="D413" s="487"/>
      <c r="E413" s="487"/>
      <c r="F413" s="487"/>
      <c r="G413" s="487"/>
      <c r="H413" s="487"/>
      <c r="I413" s="487"/>
      <c r="J413" s="487"/>
      <c r="K413" s="487"/>
      <c r="L413" s="487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</row>
    <row r="414" spans="1:41" s="36" customFormat="1" ht="24.95" customHeight="1">
      <c r="A414" s="41" t="s">
        <v>27</v>
      </c>
      <c r="B414" s="448" t="s">
        <v>503</v>
      </c>
      <c r="C414" s="407"/>
      <c r="D414" s="11" t="s">
        <v>15</v>
      </c>
      <c r="E414" s="265">
        <v>14.4</v>
      </c>
      <c r="F414" s="265">
        <v>20</v>
      </c>
      <c r="G414" s="265">
        <v>0</v>
      </c>
      <c r="H414" s="265">
        <v>4.800000000000001</v>
      </c>
      <c r="I414" s="265">
        <v>5.6000000000000005</v>
      </c>
      <c r="J414" s="338">
        <v>44.800000000000004</v>
      </c>
      <c r="K414" s="60">
        <v>0</v>
      </c>
      <c r="L414" s="67">
        <f>K414*J414</f>
        <v>0</v>
      </c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</row>
    <row r="415" spans="1:41" s="36" customFormat="1" ht="24.95" customHeight="1">
      <c r="A415" s="29" t="s">
        <v>245</v>
      </c>
      <c r="B415" s="393" t="s">
        <v>246</v>
      </c>
      <c r="C415" s="393"/>
      <c r="D415" s="59" t="s">
        <v>15</v>
      </c>
      <c r="E415" s="317">
        <v>14.4</v>
      </c>
      <c r="F415" s="317">
        <v>20</v>
      </c>
      <c r="G415" s="317">
        <v>0</v>
      </c>
      <c r="H415" s="317">
        <v>4.800000000000001</v>
      </c>
      <c r="I415" s="317">
        <v>5.6000000000000005</v>
      </c>
      <c r="J415" s="338">
        <v>44.800000000000004</v>
      </c>
      <c r="K415" s="60">
        <v>0</v>
      </c>
      <c r="L415" s="67">
        <f aca="true" t="shared" si="238" ref="L415">K415*J415</f>
        <v>0</v>
      </c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</row>
    <row r="416" spans="1:41" s="36" customFormat="1" ht="24.95" customHeight="1">
      <c r="A416" s="11" t="s">
        <v>64</v>
      </c>
      <c r="B416" s="407" t="s">
        <v>147</v>
      </c>
      <c r="C416" s="407"/>
      <c r="D416" s="11" t="s">
        <v>14</v>
      </c>
      <c r="E416" s="265">
        <v>18</v>
      </c>
      <c r="F416" s="265">
        <v>25</v>
      </c>
      <c r="G416" s="265">
        <v>0</v>
      </c>
      <c r="H416" s="265">
        <v>6</v>
      </c>
      <c r="I416" s="265">
        <v>7</v>
      </c>
      <c r="J416" s="338">
        <v>56</v>
      </c>
      <c r="K416" s="60">
        <v>0</v>
      </c>
      <c r="L416" s="67">
        <f>K416*J416</f>
        <v>0</v>
      </c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</row>
    <row r="417" spans="1:41" s="40" customFormat="1" ht="24.95" customHeight="1">
      <c r="A417" s="11" t="s">
        <v>28</v>
      </c>
      <c r="B417" s="403" t="s">
        <v>190</v>
      </c>
      <c r="C417" s="404"/>
      <c r="D417" s="11" t="s">
        <v>15</v>
      </c>
      <c r="E417" s="265">
        <v>1.8</v>
      </c>
      <c r="F417" s="265">
        <v>2.5</v>
      </c>
      <c r="G417" s="265">
        <v>0</v>
      </c>
      <c r="H417" s="265">
        <v>0.6000000000000001</v>
      </c>
      <c r="I417" s="265">
        <v>0.7000000000000001</v>
      </c>
      <c r="J417" s="338">
        <v>5.6000000000000005</v>
      </c>
      <c r="K417" s="60">
        <v>0</v>
      </c>
      <c r="L417" s="67">
        <f>K417*J417</f>
        <v>0</v>
      </c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</row>
    <row r="418" spans="1:41" s="36" customFormat="1" ht="24.95" customHeight="1">
      <c r="A418" s="35" t="s">
        <v>231</v>
      </c>
      <c r="B418" s="407" t="s">
        <v>232</v>
      </c>
      <c r="C418" s="407"/>
      <c r="D418" s="11" t="s">
        <v>14</v>
      </c>
      <c r="E418" s="265">
        <v>36</v>
      </c>
      <c r="F418" s="265">
        <v>50</v>
      </c>
      <c r="G418" s="265">
        <v>0</v>
      </c>
      <c r="H418" s="265">
        <v>12</v>
      </c>
      <c r="I418" s="265">
        <v>14</v>
      </c>
      <c r="J418" s="338">
        <v>112</v>
      </c>
      <c r="K418" s="60">
        <v>0</v>
      </c>
      <c r="L418" s="67">
        <f>K418*J418</f>
        <v>0</v>
      </c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</row>
    <row r="419" spans="1:41" s="36" customFormat="1" ht="24.95" customHeight="1">
      <c r="A419" s="18" t="s">
        <v>148</v>
      </c>
      <c r="B419" s="404" t="s">
        <v>156</v>
      </c>
      <c r="C419" s="404"/>
      <c r="D419" s="11" t="s">
        <v>9</v>
      </c>
      <c r="E419" s="265">
        <f>E416</f>
        <v>18</v>
      </c>
      <c r="F419" s="265">
        <f aca="true" t="shared" si="239" ref="F419:I419">F416</f>
        <v>25</v>
      </c>
      <c r="G419" s="265">
        <f t="shared" si="239"/>
        <v>0</v>
      </c>
      <c r="H419" s="265">
        <f t="shared" si="239"/>
        <v>6</v>
      </c>
      <c r="I419" s="265">
        <f t="shared" si="239"/>
        <v>7</v>
      </c>
      <c r="J419" s="338">
        <f>SUM(E419:I419)</f>
        <v>56</v>
      </c>
      <c r="K419" s="60">
        <v>0</v>
      </c>
      <c r="L419" s="67">
        <f aca="true" t="shared" si="240" ref="L419:L420">K419*J419</f>
        <v>0</v>
      </c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</row>
    <row r="420" spans="1:41" s="36" customFormat="1" ht="24.95" customHeight="1">
      <c r="A420" s="18" t="s">
        <v>180</v>
      </c>
      <c r="B420" s="404" t="s">
        <v>181</v>
      </c>
      <c r="C420" s="404"/>
      <c r="D420" s="11" t="s">
        <v>9</v>
      </c>
      <c r="E420" s="265">
        <v>18</v>
      </c>
      <c r="F420" s="265">
        <v>25</v>
      </c>
      <c r="G420" s="265">
        <v>0</v>
      </c>
      <c r="H420" s="265">
        <v>6</v>
      </c>
      <c r="I420" s="265">
        <v>7</v>
      </c>
      <c r="J420" s="338">
        <f>SUM(E420:I420)</f>
        <v>56</v>
      </c>
      <c r="K420" s="60">
        <v>0</v>
      </c>
      <c r="L420" s="67">
        <f t="shared" si="240"/>
        <v>0</v>
      </c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</row>
    <row r="421" spans="1:41" s="36" customFormat="1" ht="24.95" customHeight="1">
      <c r="A421" s="18"/>
      <c r="B421" s="439" t="s">
        <v>182</v>
      </c>
      <c r="C421" s="439"/>
      <c r="D421" s="37"/>
      <c r="E421" s="245"/>
      <c r="F421" s="245"/>
      <c r="G421" s="245"/>
      <c r="H421" s="245"/>
      <c r="I421" s="245"/>
      <c r="J421" s="245"/>
      <c r="K421" s="38"/>
      <c r="L421" s="63">
        <f>SUM(L414:L420)</f>
        <v>0</v>
      </c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</row>
    <row r="422" spans="1:41" s="36" customFormat="1" ht="24.95" customHeight="1">
      <c r="A422" s="18"/>
      <c r="B422" s="491" t="s">
        <v>183</v>
      </c>
      <c r="C422" s="491"/>
      <c r="D422" s="491"/>
      <c r="E422" s="491"/>
      <c r="F422" s="491"/>
      <c r="G422" s="491"/>
      <c r="H422" s="491"/>
      <c r="I422" s="491"/>
      <c r="J422" s="491"/>
      <c r="K422" s="491"/>
      <c r="L422" s="491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</row>
    <row r="423" spans="1:41" s="36" customFormat="1" ht="24.95" customHeight="1">
      <c r="A423" s="35" t="s">
        <v>149</v>
      </c>
      <c r="B423" s="403" t="s">
        <v>150</v>
      </c>
      <c r="C423" s="404"/>
      <c r="D423" s="11" t="s">
        <v>15</v>
      </c>
      <c r="E423" s="265">
        <v>50.64</v>
      </c>
      <c r="F423" s="320">
        <v>0</v>
      </c>
      <c r="G423" s="265">
        <v>26.400000000000002</v>
      </c>
      <c r="H423" s="320">
        <v>254.064</v>
      </c>
      <c r="I423" s="265">
        <v>0</v>
      </c>
      <c r="J423" s="338">
        <v>331.104</v>
      </c>
      <c r="K423" s="60">
        <v>0</v>
      </c>
      <c r="L423" s="67">
        <f>K423*J423</f>
        <v>0</v>
      </c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</row>
    <row r="424" spans="1:41" s="36" customFormat="1" ht="24.95" customHeight="1">
      <c r="A424" s="29" t="s">
        <v>245</v>
      </c>
      <c r="B424" s="393" t="s">
        <v>246</v>
      </c>
      <c r="C424" s="393"/>
      <c r="D424" s="59" t="s">
        <v>15</v>
      </c>
      <c r="E424" s="317">
        <v>50.64</v>
      </c>
      <c r="F424" s="320">
        <v>0</v>
      </c>
      <c r="G424" s="317">
        <v>26.400000000000002</v>
      </c>
      <c r="H424" s="320">
        <v>254.064</v>
      </c>
      <c r="I424" s="317">
        <v>0</v>
      </c>
      <c r="J424" s="338">
        <v>331.104</v>
      </c>
      <c r="K424" s="60">
        <v>0</v>
      </c>
      <c r="L424" s="67">
        <f aca="true" t="shared" si="241" ref="L424:L429">K424*J424</f>
        <v>0</v>
      </c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</row>
    <row r="425" spans="1:41" s="36" customFormat="1" ht="24.95" customHeight="1">
      <c r="A425" s="35" t="s">
        <v>142</v>
      </c>
      <c r="B425" s="448" t="s">
        <v>168</v>
      </c>
      <c r="C425" s="407"/>
      <c r="D425" s="11" t="s">
        <v>14</v>
      </c>
      <c r="E425" s="265">
        <v>422</v>
      </c>
      <c r="F425" s="320">
        <v>0</v>
      </c>
      <c r="G425" s="265">
        <v>220</v>
      </c>
      <c r="H425" s="265">
        <v>2117.2</v>
      </c>
      <c r="I425" s="265">
        <v>0</v>
      </c>
      <c r="J425" s="338">
        <v>2759.2</v>
      </c>
      <c r="K425" s="60">
        <v>0</v>
      </c>
      <c r="L425" s="67">
        <f t="shared" si="241"/>
        <v>0</v>
      </c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</row>
    <row r="426" spans="1:41" s="36" customFormat="1" ht="24.95" customHeight="1">
      <c r="A426" s="11" t="s">
        <v>29</v>
      </c>
      <c r="B426" s="407" t="s">
        <v>151</v>
      </c>
      <c r="C426" s="407"/>
      <c r="D426" s="11" t="s">
        <v>14</v>
      </c>
      <c r="E426" s="265">
        <v>91</v>
      </c>
      <c r="F426" s="320">
        <v>0</v>
      </c>
      <c r="G426" s="265">
        <v>110</v>
      </c>
      <c r="H426" s="265">
        <v>29</v>
      </c>
      <c r="I426" s="265">
        <v>0</v>
      </c>
      <c r="J426" s="338">
        <v>230</v>
      </c>
      <c r="K426" s="60">
        <v>0</v>
      </c>
      <c r="L426" s="67">
        <f t="shared" si="241"/>
        <v>0</v>
      </c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</row>
    <row r="427" spans="1:41" s="36" customFormat="1" ht="24.95" customHeight="1">
      <c r="A427" s="11" t="s">
        <v>28</v>
      </c>
      <c r="B427" s="403" t="s">
        <v>190</v>
      </c>
      <c r="C427" s="404"/>
      <c r="D427" s="11" t="s">
        <v>15</v>
      </c>
      <c r="E427" s="265">
        <v>9.1</v>
      </c>
      <c r="F427" s="320">
        <v>0</v>
      </c>
      <c r="G427" s="265">
        <v>11</v>
      </c>
      <c r="H427" s="265">
        <v>2.9000000000000004</v>
      </c>
      <c r="I427" s="265">
        <v>0</v>
      </c>
      <c r="J427" s="338">
        <v>23</v>
      </c>
      <c r="K427" s="60">
        <v>0</v>
      </c>
      <c r="L427" s="67">
        <f t="shared" si="241"/>
        <v>0</v>
      </c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</row>
    <row r="428" spans="1:41" s="36" customFormat="1" ht="24.95" customHeight="1">
      <c r="A428" s="35" t="s">
        <v>152</v>
      </c>
      <c r="B428" s="404" t="s">
        <v>184</v>
      </c>
      <c r="C428" s="404"/>
      <c r="D428" s="11" t="s">
        <v>9</v>
      </c>
      <c r="E428" s="320">
        <f>E101+E114</f>
        <v>553</v>
      </c>
      <c r="F428" s="320">
        <f>F101+F114</f>
        <v>0</v>
      </c>
      <c r="G428" s="320">
        <f>G101+G114</f>
        <v>262</v>
      </c>
      <c r="H428" s="320">
        <f>H101+H114</f>
        <v>2474</v>
      </c>
      <c r="I428" s="320">
        <f>I101+I114</f>
        <v>0</v>
      </c>
      <c r="J428" s="338">
        <f>SUM(E428:I428)</f>
        <v>3289</v>
      </c>
      <c r="K428" s="60">
        <v>0</v>
      </c>
      <c r="L428" s="67">
        <f t="shared" si="241"/>
        <v>0</v>
      </c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</row>
    <row r="429" spans="1:41" s="36" customFormat="1" ht="24.95" customHeight="1">
      <c r="A429" s="35" t="s">
        <v>188</v>
      </c>
      <c r="B429" s="404" t="s">
        <v>189</v>
      </c>
      <c r="C429" s="404"/>
      <c r="D429" s="11" t="s">
        <v>9</v>
      </c>
      <c r="E429" s="320">
        <f>E120+E128</f>
        <v>58</v>
      </c>
      <c r="F429" s="320">
        <f>F120+F128</f>
        <v>0</v>
      </c>
      <c r="G429" s="320">
        <f>G120+G128</f>
        <v>6</v>
      </c>
      <c r="H429" s="320">
        <f>H120+H128</f>
        <v>48</v>
      </c>
      <c r="I429" s="320">
        <f>I120+I128</f>
        <v>0</v>
      </c>
      <c r="J429" s="338">
        <f>SUM(E429:I429)</f>
        <v>112</v>
      </c>
      <c r="K429" s="60">
        <v>0</v>
      </c>
      <c r="L429" s="67">
        <f t="shared" si="241"/>
        <v>0</v>
      </c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</row>
    <row r="430" spans="1:41" s="36" customFormat="1" ht="24.95" customHeight="1">
      <c r="A430" s="35"/>
      <c r="B430" s="438" t="s">
        <v>185</v>
      </c>
      <c r="C430" s="438"/>
      <c r="D430" s="37"/>
      <c r="E430" s="245"/>
      <c r="F430" s="245"/>
      <c r="G430" s="245"/>
      <c r="H430" s="245"/>
      <c r="I430" s="245"/>
      <c r="J430" s="245"/>
      <c r="K430" s="38"/>
      <c r="L430" s="63">
        <f>SUM(L423:L429)</f>
        <v>0</v>
      </c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</row>
    <row r="431" spans="1:41" s="50" customFormat="1" ht="24.95" customHeight="1">
      <c r="A431" s="76" t="s">
        <v>27</v>
      </c>
      <c r="B431" s="402" t="s">
        <v>272</v>
      </c>
      <c r="C431" s="402"/>
      <c r="D431" s="73" t="s">
        <v>269</v>
      </c>
      <c r="E431" s="501">
        <v>1</v>
      </c>
      <c r="F431" s="502"/>
      <c r="G431" s="502"/>
      <c r="H431" s="502"/>
      <c r="I431" s="502"/>
      <c r="J431" s="503"/>
      <c r="K431" s="60">
        <v>0</v>
      </c>
      <c r="L431" s="77">
        <f>E431*K431</f>
        <v>0</v>
      </c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</row>
    <row r="432" spans="1:41" s="54" customFormat="1" ht="35.1" customHeight="1">
      <c r="A432" s="55"/>
      <c r="B432" s="475" t="s">
        <v>186</v>
      </c>
      <c r="C432" s="475"/>
      <c r="D432" s="475"/>
      <c r="E432" s="475"/>
      <c r="F432" s="475"/>
      <c r="G432" s="475"/>
      <c r="H432" s="475"/>
      <c r="I432" s="475"/>
      <c r="J432" s="475"/>
      <c r="K432" s="475"/>
      <c r="L432" s="68">
        <f>SUM(L431,L430,L421)</f>
        <v>0</v>
      </c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</row>
    <row r="433" spans="1:41" s="42" customFormat="1" ht="35.1" customHeight="1">
      <c r="A433" s="126"/>
      <c r="B433" s="440" t="s">
        <v>462</v>
      </c>
      <c r="C433" s="440"/>
      <c r="D433" s="440"/>
      <c r="E433" s="440"/>
      <c r="F433" s="440"/>
      <c r="G433" s="440"/>
      <c r="H433" s="440"/>
      <c r="I433" s="440"/>
      <c r="J433" s="440"/>
      <c r="K433" s="440"/>
      <c r="L433" s="440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</row>
    <row r="434" spans="1:41" s="31" customFormat="1" ht="24.95" customHeight="1">
      <c r="A434" s="396"/>
      <c r="B434" s="397" t="s">
        <v>7</v>
      </c>
      <c r="C434" s="397"/>
      <c r="D434" s="397" t="s">
        <v>221</v>
      </c>
      <c r="E434" s="398" t="s">
        <v>115</v>
      </c>
      <c r="F434" s="398"/>
      <c r="G434" s="398"/>
      <c r="H434" s="398"/>
      <c r="I434" s="398"/>
      <c r="J434" s="398"/>
      <c r="K434" s="399" t="s">
        <v>4</v>
      </c>
      <c r="L434" s="400" t="s">
        <v>116</v>
      </c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</row>
    <row r="435" spans="1:41" s="6" customFormat="1" ht="24.95" customHeight="1">
      <c r="A435" s="396"/>
      <c r="B435" s="397"/>
      <c r="C435" s="397"/>
      <c r="D435" s="397"/>
      <c r="E435" s="267" t="s">
        <v>276</v>
      </c>
      <c r="F435" s="267" t="s">
        <v>277</v>
      </c>
      <c r="G435" s="267" t="s">
        <v>383</v>
      </c>
      <c r="H435" s="267" t="s">
        <v>384</v>
      </c>
      <c r="I435" s="267" t="s">
        <v>385</v>
      </c>
      <c r="J435" s="270" t="s">
        <v>8</v>
      </c>
      <c r="K435" s="399"/>
      <c r="L435" s="400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</row>
    <row r="436" spans="1:41" s="98" customFormat="1" ht="24.75" customHeight="1">
      <c r="A436" s="95"/>
      <c r="B436" s="415" t="s">
        <v>367</v>
      </c>
      <c r="C436" s="415"/>
      <c r="D436" s="415"/>
      <c r="E436" s="415"/>
      <c r="F436" s="415"/>
      <c r="G436" s="415"/>
      <c r="H436" s="415"/>
      <c r="I436" s="415"/>
      <c r="J436" s="415"/>
      <c r="K436" s="415"/>
      <c r="L436" s="415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</row>
    <row r="437" spans="1:41" s="98" customFormat="1" ht="24.75" customHeight="1">
      <c r="A437" s="29" t="s">
        <v>27</v>
      </c>
      <c r="B437" s="441" t="s">
        <v>215</v>
      </c>
      <c r="C437" s="441"/>
      <c r="D437" s="33" t="s">
        <v>14</v>
      </c>
      <c r="E437" s="315">
        <v>89</v>
      </c>
      <c r="F437" s="333">
        <v>0</v>
      </c>
      <c r="G437" s="315">
        <v>43</v>
      </c>
      <c r="H437" s="333">
        <v>0</v>
      </c>
      <c r="I437" s="315">
        <v>27</v>
      </c>
      <c r="J437" s="360">
        <f aca="true" t="shared" si="242" ref="J437:J463">SUM(E437:I437)</f>
        <v>159</v>
      </c>
      <c r="K437" s="60">
        <v>0</v>
      </c>
      <c r="L437" s="103">
        <f>J437*K437</f>
        <v>0</v>
      </c>
      <c r="M437" s="148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</row>
    <row r="438" spans="1:41" s="98" customFormat="1" ht="24.75" customHeight="1">
      <c r="A438" s="29" t="s">
        <v>27</v>
      </c>
      <c r="B438" s="441" t="s">
        <v>438</v>
      </c>
      <c r="C438" s="441"/>
      <c r="D438" s="33" t="s">
        <v>15</v>
      </c>
      <c r="E438" s="315">
        <f>89*0.4*1.2</f>
        <v>42.72</v>
      </c>
      <c r="F438" s="333">
        <v>0</v>
      </c>
      <c r="G438" s="315">
        <f>43*0.4*1.2</f>
        <v>20.639999999999997</v>
      </c>
      <c r="H438" s="333">
        <v>0</v>
      </c>
      <c r="I438" s="315">
        <f>27*0.4*1.2</f>
        <v>12.96</v>
      </c>
      <c r="J438" s="360">
        <f t="shared" si="242"/>
        <v>76.32</v>
      </c>
      <c r="K438" s="60">
        <v>0</v>
      </c>
      <c r="L438" s="103">
        <f aca="true" t="shared" si="243" ref="L438:L463">J438*K438</f>
        <v>0</v>
      </c>
      <c r="M438" s="148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</row>
    <row r="439" spans="1:41" s="98" customFormat="1" ht="24.75" customHeight="1">
      <c r="A439" s="29" t="s">
        <v>27</v>
      </c>
      <c r="B439" s="441" t="s">
        <v>415</v>
      </c>
      <c r="C439" s="441"/>
      <c r="D439" s="33" t="s">
        <v>23</v>
      </c>
      <c r="E439" s="315">
        <f>42.7*1.8</f>
        <v>76.86000000000001</v>
      </c>
      <c r="F439" s="333">
        <v>0</v>
      </c>
      <c r="G439" s="315">
        <f>20.6*1.8</f>
        <v>37.080000000000005</v>
      </c>
      <c r="H439" s="333">
        <v>0</v>
      </c>
      <c r="I439" s="315">
        <f>13*1.8</f>
        <v>23.400000000000002</v>
      </c>
      <c r="J439" s="360">
        <f t="shared" si="242"/>
        <v>137.34000000000003</v>
      </c>
      <c r="K439" s="60">
        <v>0</v>
      </c>
      <c r="L439" s="103">
        <f t="shared" si="243"/>
        <v>0</v>
      </c>
      <c r="M439" s="148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</row>
    <row r="440" spans="1:41" s="98" customFormat="1" ht="24.75" customHeight="1">
      <c r="A440" s="29" t="s">
        <v>27</v>
      </c>
      <c r="B440" s="441" t="s">
        <v>214</v>
      </c>
      <c r="C440" s="441"/>
      <c r="D440" s="33" t="s">
        <v>14</v>
      </c>
      <c r="E440" s="315">
        <f>E437</f>
        <v>89</v>
      </c>
      <c r="F440" s="333">
        <v>0</v>
      </c>
      <c r="G440" s="315">
        <v>43</v>
      </c>
      <c r="H440" s="333">
        <v>0</v>
      </c>
      <c r="I440" s="315">
        <v>27</v>
      </c>
      <c r="J440" s="360">
        <f t="shared" si="242"/>
        <v>159</v>
      </c>
      <c r="K440" s="60">
        <v>0</v>
      </c>
      <c r="L440" s="103">
        <f t="shared" si="243"/>
        <v>0</v>
      </c>
      <c r="M440" s="148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</row>
    <row r="441" spans="1:41" s="98" customFormat="1" ht="24.75" customHeight="1">
      <c r="A441" s="382" t="s">
        <v>27</v>
      </c>
      <c r="B441" s="411" t="s">
        <v>416</v>
      </c>
      <c r="C441" s="412"/>
      <c r="D441" s="383" t="s">
        <v>417</v>
      </c>
      <c r="E441" s="384">
        <v>1</v>
      </c>
      <c r="F441" s="385">
        <v>0</v>
      </c>
      <c r="G441" s="384">
        <v>1</v>
      </c>
      <c r="H441" s="385">
        <v>0</v>
      </c>
      <c r="I441" s="384">
        <v>1</v>
      </c>
      <c r="J441" s="386">
        <f t="shared" si="242"/>
        <v>3</v>
      </c>
      <c r="K441" s="381">
        <v>0</v>
      </c>
      <c r="L441" s="387">
        <f t="shared" si="243"/>
        <v>0</v>
      </c>
      <c r="M441" s="149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</row>
    <row r="442" spans="1:41" s="98" customFormat="1" ht="24.75" customHeight="1">
      <c r="A442" s="382" t="s">
        <v>418</v>
      </c>
      <c r="B442" s="416" t="s">
        <v>419</v>
      </c>
      <c r="C442" s="410"/>
      <c r="D442" s="388" t="s">
        <v>15</v>
      </c>
      <c r="E442" s="384">
        <f>89*0.15</f>
        <v>13.35</v>
      </c>
      <c r="F442" s="385">
        <v>0</v>
      </c>
      <c r="G442" s="384">
        <f>43*0.15</f>
        <v>6.45</v>
      </c>
      <c r="H442" s="385">
        <v>0</v>
      </c>
      <c r="I442" s="384">
        <f>27*0.15</f>
        <v>4.05</v>
      </c>
      <c r="J442" s="386">
        <f t="shared" si="242"/>
        <v>23.85</v>
      </c>
      <c r="K442" s="381">
        <v>0</v>
      </c>
      <c r="L442" s="387">
        <f t="shared" si="243"/>
        <v>0</v>
      </c>
      <c r="M442" s="148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</row>
    <row r="443" spans="1:41" s="98" customFormat="1" ht="24.75" customHeight="1">
      <c r="A443" s="382" t="s">
        <v>27</v>
      </c>
      <c r="B443" s="411" t="s">
        <v>420</v>
      </c>
      <c r="C443" s="412"/>
      <c r="D443" s="388" t="s">
        <v>15</v>
      </c>
      <c r="E443" s="384">
        <f>E442</f>
        <v>13.35</v>
      </c>
      <c r="F443" s="385">
        <v>0</v>
      </c>
      <c r="G443" s="384">
        <f>G442</f>
        <v>6.45</v>
      </c>
      <c r="H443" s="385">
        <v>0</v>
      </c>
      <c r="I443" s="384">
        <f>I442</f>
        <v>4.05</v>
      </c>
      <c r="J443" s="386">
        <f t="shared" si="242"/>
        <v>23.85</v>
      </c>
      <c r="K443" s="381">
        <v>0</v>
      </c>
      <c r="L443" s="387">
        <f t="shared" si="243"/>
        <v>0</v>
      </c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</row>
    <row r="444" spans="1:41" s="98" customFormat="1" ht="24.75" customHeight="1">
      <c r="A444" s="382" t="s">
        <v>421</v>
      </c>
      <c r="B444" s="410" t="s">
        <v>422</v>
      </c>
      <c r="C444" s="410"/>
      <c r="D444" s="388" t="s">
        <v>14</v>
      </c>
      <c r="E444" s="384">
        <f>E440</f>
        <v>89</v>
      </c>
      <c r="F444" s="385">
        <v>0</v>
      </c>
      <c r="G444" s="384">
        <f>G440</f>
        <v>43</v>
      </c>
      <c r="H444" s="385">
        <v>0</v>
      </c>
      <c r="I444" s="384">
        <f>I440</f>
        <v>27</v>
      </c>
      <c r="J444" s="386">
        <f t="shared" si="242"/>
        <v>159</v>
      </c>
      <c r="K444" s="381">
        <v>0</v>
      </c>
      <c r="L444" s="387">
        <f t="shared" si="243"/>
        <v>0</v>
      </c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</row>
    <row r="445" spans="1:41" s="98" customFormat="1" ht="24.75" customHeight="1">
      <c r="A445" s="382" t="s">
        <v>28</v>
      </c>
      <c r="B445" s="411" t="s">
        <v>423</v>
      </c>
      <c r="C445" s="412"/>
      <c r="D445" s="388" t="s">
        <v>23</v>
      </c>
      <c r="E445" s="384">
        <f>89*0.15*2</f>
        <v>26.7</v>
      </c>
      <c r="F445" s="385">
        <v>0</v>
      </c>
      <c r="G445" s="384">
        <f>43*0.15*2</f>
        <v>12.9</v>
      </c>
      <c r="H445" s="385">
        <v>0</v>
      </c>
      <c r="I445" s="384">
        <f>27*0.15*2</f>
        <v>8.1</v>
      </c>
      <c r="J445" s="386">
        <f t="shared" si="242"/>
        <v>47.7</v>
      </c>
      <c r="K445" s="381">
        <v>0</v>
      </c>
      <c r="L445" s="387">
        <f t="shared" si="243"/>
        <v>0</v>
      </c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</row>
    <row r="446" spans="1:41" s="98" customFormat="1" ht="24.75" customHeight="1">
      <c r="A446" s="11" t="s">
        <v>27</v>
      </c>
      <c r="B446" s="441" t="s">
        <v>424</v>
      </c>
      <c r="C446" s="413"/>
      <c r="D446" s="27" t="s">
        <v>417</v>
      </c>
      <c r="E446" s="315">
        <v>1</v>
      </c>
      <c r="F446" s="333">
        <v>0</v>
      </c>
      <c r="G446" s="315">
        <v>1</v>
      </c>
      <c r="H446" s="333">
        <v>0</v>
      </c>
      <c r="I446" s="315">
        <v>1</v>
      </c>
      <c r="J446" s="360">
        <f t="shared" si="242"/>
        <v>3</v>
      </c>
      <c r="K446" s="60">
        <v>0</v>
      </c>
      <c r="L446" s="103">
        <f t="shared" si="243"/>
        <v>0</v>
      </c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</row>
    <row r="447" spans="1:41" s="98" customFormat="1" ht="24.75" customHeight="1">
      <c r="A447" s="11" t="s">
        <v>418</v>
      </c>
      <c r="B447" s="414" t="s">
        <v>425</v>
      </c>
      <c r="C447" s="409"/>
      <c r="D447" s="33" t="s">
        <v>15</v>
      </c>
      <c r="E447" s="315">
        <f>89*0.1</f>
        <v>8.9</v>
      </c>
      <c r="F447" s="333">
        <v>0</v>
      </c>
      <c r="G447" s="315">
        <f>43*0.1</f>
        <v>4.3</v>
      </c>
      <c r="H447" s="333">
        <v>0</v>
      </c>
      <c r="I447" s="315">
        <f>27*0.1</f>
        <v>2.7</v>
      </c>
      <c r="J447" s="360">
        <f t="shared" si="242"/>
        <v>15.899999999999999</v>
      </c>
      <c r="K447" s="60">
        <v>0</v>
      </c>
      <c r="L447" s="103">
        <f t="shared" si="243"/>
        <v>0</v>
      </c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</row>
    <row r="448" spans="1:41" s="98" customFormat="1" ht="24.75" customHeight="1">
      <c r="A448" s="11" t="s">
        <v>27</v>
      </c>
      <c r="B448" s="441" t="s">
        <v>426</v>
      </c>
      <c r="C448" s="413"/>
      <c r="D448" s="33" t="s">
        <v>15</v>
      </c>
      <c r="E448" s="315">
        <f>E447</f>
        <v>8.9</v>
      </c>
      <c r="F448" s="333">
        <v>0</v>
      </c>
      <c r="G448" s="315">
        <f>G447</f>
        <v>4.3</v>
      </c>
      <c r="H448" s="333">
        <v>0</v>
      </c>
      <c r="I448" s="315">
        <f>I447</f>
        <v>2.7</v>
      </c>
      <c r="J448" s="360">
        <f t="shared" si="242"/>
        <v>15.899999999999999</v>
      </c>
      <c r="K448" s="60">
        <v>0</v>
      </c>
      <c r="L448" s="103">
        <f t="shared" si="243"/>
        <v>0</v>
      </c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</row>
    <row r="449" spans="1:41" s="98" customFormat="1" ht="24.75" customHeight="1">
      <c r="A449" s="11" t="s">
        <v>421</v>
      </c>
      <c r="B449" s="409" t="s">
        <v>422</v>
      </c>
      <c r="C449" s="409"/>
      <c r="D449" s="33" t="s">
        <v>14</v>
      </c>
      <c r="E449" s="315">
        <f>E440</f>
        <v>89</v>
      </c>
      <c r="F449" s="333">
        <v>0</v>
      </c>
      <c r="G449" s="315">
        <f>G440</f>
        <v>43</v>
      </c>
      <c r="H449" s="333">
        <v>0</v>
      </c>
      <c r="I449" s="315">
        <f>I440</f>
        <v>27</v>
      </c>
      <c r="J449" s="360">
        <f t="shared" si="242"/>
        <v>159</v>
      </c>
      <c r="K449" s="60">
        <v>0</v>
      </c>
      <c r="L449" s="103">
        <f t="shared" si="243"/>
        <v>0</v>
      </c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</row>
    <row r="450" spans="1:41" s="98" customFormat="1" ht="24.75" customHeight="1">
      <c r="A450" s="11" t="s">
        <v>28</v>
      </c>
      <c r="B450" s="441" t="s">
        <v>427</v>
      </c>
      <c r="C450" s="413"/>
      <c r="D450" s="33" t="s">
        <v>23</v>
      </c>
      <c r="E450" s="315">
        <f>0.1*89*2</f>
        <v>17.8</v>
      </c>
      <c r="F450" s="333">
        <v>0</v>
      </c>
      <c r="G450" s="315">
        <f>0.1*43*2</f>
        <v>8.6</v>
      </c>
      <c r="H450" s="333">
        <v>0</v>
      </c>
      <c r="I450" s="315">
        <f>0.1*27*2</f>
        <v>5.4</v>
      </c>
      <c r="J450" s="360">
        <f t="shared" si="242"/>
        <v>31.799999999999997</v>
      </c>
      <c r="K450" s="60">
        <v>0</v>
      </c>
      <c r="L450" s="103">
        <f t="shared" si="243"/>
        <v>0</v>
      </c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</row>
    <row r="451" spans="1:41" s="98" customFormat="1" ht="24.75" customHeight="1">
      <c r="A451" s="382" t="s">
        <v>27</v>
      </c>
      <c r="B451" s="411" t="s">
        <v>428</v>
      </c>
      <c r="C451" s="412"/>
      <c r="D451" s="383" t="s">
        <v>417</v>
      </c>
      <c r="E451" s="384">
        <v>1</v>
      </c>
      <c r="F451" s="385">
        <v>0</v>
      </c>
      <c r="G451" s="384">
        <v>1</v>
      </c>
      <c r="H451" s="385">
        <v>0</v>
      </c>
      <c r="I451" s="384">
        <v>1</v>
      </c>
      <c r="J451" s="386">
        <f t="shared" si="242"/>
        <v>3</v>
      </c>
      <c r="K451" s="381">
        <v>0</v>
      </c>
      <c r="L451" s="387">
        <f t="shared" si="243"/>
        <v>0</v>
      </c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</row>
    <row r="452" spans="1:41" s="98" customFormat="1" ht="24.75" customHeight="1">
      <c r="A452" s="382" t="s">
        <v>418</v>
      </c>
      <c r="B452" s="416" t="s">
        <v>429</v>
      </c>
      <c r="C452" s="410"/>
      <c r="D452" s="388" t="s">
        <v>15</v>
      </c>
      <c r="E452" s="384">
        <f>0.1*89</f>
        <v>8.9</v>
      </c>
      <c r="F452" s="385">
        <v>0</v>
      </c>
      <c r="G452" s="384">
        <f>0.1*43</f>
        <v>4.3</v>
      </c>
      <c r="H452" s="385">
        <v>0</v>
      </c>
      <c r="I452" s="384">
        <f>0.1*27</f>
        <v>2.7</v>
      </c>
      <c r="J452" s="386">
        <f t="shared" si="242"/>
        <v>15.899999999999999</v>
      </c>
      <c r="K452" s="381">
        <v>0</v>
      </c>
      <c r="L452" s="387">
        <f t="shared" si="243"/>
        <v>0</v>
      </c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</row>
    <row r="453" spans="1:41" s="98" customFormat="1" ht="24.75" customHeight="1">
      <c r="A453" s="382" t="s">
        <v>27</v>
      </c>
      <c r="B453" s="411" t="s">
        <v>430</v>
      </c>
      <c r="C453" s="412"/>
      <c r="D453" s="388" t="s">
        <v>15</v>
      </c>
      <c r="E453" s="384">
        <f>E452</f>
        <v>8.9</v>
      </c>
      <c r="F453" s="385">
        <v>0</v>
      </c>
      <c r="G453" s="384">
        <f>G452</f>
        <v>4.3</v>
      </c>
      <c r="H453" s="385">
        <v>0</v>
      </c>
      <c r="I453" s="384">
        <f>I452</f>
        <v>2.7</v>
      </c>
      <c r="J453" s="386">
        <f t="shared" si="242"/>
        <v>15.899999999999999</v>
      </c>
      <c r="K453" s="381">
        <v>0</v>
      </c>
      <c r="L453" s="387">
        <f t="shared" si="243"/>
        <v>0</v>
      </c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</row>
    <row r="454" spans="1:41" s="98" customFormat="1" ht="24.75" customHeight="1">
      <c r="A454" s="382" t="s">
        <v>421</v>
      </c>
      <c r="B454" s="410" t="s">
        <v>422</v>
      </c>
      <c r="C454" s="410"/>
      <c r="D454" s="388" t="s">
        <v>14</v>
      </c>
      <c r="E454" s="384">
        <f>E440</f>
        <v>89</v>
      </c>
      <c r="F454" s="385">
        <v>0</v>
      </c>
      <c r="G454" s="384">
        <f>G440</f>
        <v>43</v>
      </c>
      <c r="H454" s="385">
        <v>0</v>
      </c>
      <c r="I454" s="384">
        <f>I440</f>
        <v>27</v>
      </c>
      <c r="J454" s="386">
        <f t="shared" si="242"/>
        <v>159</v>
      </c>
      <c r="K454" s="381">
        <v>0</v>
      </c>
      <c r="L454" s="387">
        <f t="shared" si="243"/>
        <v>0</v>
      </c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</row>
    <row r="455" spans="1:41" s="98" customFormat="1" ht="24.75" customHeight="1">
      <c r="A455" s="382" t="s">
        <v>28</v>
      </c>
      <c r="B455" s="411" t="s">
        <v>431</v>
      </c>
      <c r="C455" s="412"/>
      <c r="D455" s="388" t="s">
        <v>23</v>
      </c>
      <c r="E455" s="384">
        <f>0.1*89*2</f>
        <v>17.8</v>
      </c>
      <c r="F455" s="385">
        <v>0</v>
      </c>
      <c r="G455" s="384">
        <f>0.1*43*2</f>
        <v>8.6</v>
      </c>
      <c r="H455" s="385">
        <v>0</v>
      </c>
      <c r="I455" s="384">
        <f>0.1*27*2</f>
        <v>5.4</v>
      </c>
      <c r="J455" s="386">
        <f t="shared" si="242"/>
        <v>31.799999999999997</v>
      </c>
      <c r="K455" s="381">
        <v>0</v>
      </c>
      <c r="L455" s="387">
        <f t="shared" si="243"/>
        <v>0</v>
      </c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</row>
    <row r="456" spans="1:41" s="98" customFormat="1" ht="24.75" customHeight="1">
      <c r="A456" s="11" t="s">
        <v>27</v>
      </c>
      <c r="B456" s="413" t="s">
        <v>432</v>
      </c>
      <c r="C456" s="413"/>
      <c r="D456" s="27" t="s">
        <v>417</v>
      </c>
      <c r="E456" s="315">
        <v>1</v>
      </c>
      <c r="F456" s="333">
        <v>0</v>
      </c>
      <c r="G456" s="315">
        <v>1</v>
      </c>
      <c r="H456" s="333">
        <v>0</v>
      </c>
      <c r="I456" s="315">
        <v>1</v>
      </c>
      <c r="J456" s="360">
        <f t="shared" si="242"/>
        <v>3</v>
      </c>
      <c r="K456" s="60">
        <v>0</v>
      </c>
      <c r="L456" s="103">
        <f t="shared" si="243"/>
        <v>0</v>
      </c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</row>
    <row r="457" spans="1:41" s="48" customFormat="1" ht="24.95" customHeight="1">
      <c r="A457" s="29" t="s">
        <v>418</v>
      </c>
      <c r="B457" s="414" t="s">
        <v>433</v>
      </c>
      <c r="C457" s="414"/>
      <c r="D457" s="33" t="s">
        <v>15</v>
      </c>
      <c r="E457" s="315">
        <f>0.04*89</f>
        <v>3.56</v>
      </c>
      <c r="F457" s="333">
        <v>0</v>
      </c>
      <c r="G457" s="315">
        <f>0.04*43</f>
        <v>1.72</v>
      </c>
      <c r="H457" s="333">
        <v>0</v>
      </c>
      <c r="I457" s="315">
        <f>0.04*27</f>
        <v>1.08</v>
      </c>
      <c r="J457" s="360">
        <f t="shared" si="242"/>
        <v>6.36</v>
      </c>
      <c r="K457" s="60">
        <v>0</v>
      </c>
      <c r="L457" s="103">
        <f t="shared" si="243"/>
        <v>0</v>
      </c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</row>
    <row r="458" spans="1:41" s="48" customFormat="1" ht="24.95" customHeight="1">
      <c r="A458" s="29" t="s">
        <v>27</v>
      </c>
      <c r="B458" s="441" t="s">
        <v>434</v>
      </c>
      <c r="C458" s="441"/>
      <c r="D458" s="33" t="s">
        <v>15</v>
      </c>
      <c r="E458" s="315">
        <f>E457</f>
        <v>3.56</v>
      </c>
      <c r="F458" s="333">
        <v>0</v>
      </c>
      <c r="G458" s="315">
        <f>G457</f>
        <v>1.72</v>
      </c>
      <c r="H458" s="333">
        <v>0</v>
      </c>
      <c r="I458" s="315">
        <f>I457</f>
        <v>1.08</v>
      </c>
      <c r="J458" s="360">
        <f t="shared" si="242"/>
        <v>6.36</v>
      </c>
      <c r="K458" s="60">
        <v>0</v>
      </c>
      <c r="L458" s="103">
        <f t="shared" si="243"/>
        <v>0</v>
      </c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</row>
    <row r="459" spans="1:41" s="48" customFormat="1" ht="24.95" customHeight="1">
      <c r="A459" s="29" t="s">
        <v>421</v>
      </c>
      <c r="B459" s="414" t="s">
        <v>422</v>
      </c>
      <c r="C459" s="414"/>
      <c r="D459" s="33" t="s">
        <v>14</v>
      </c>
      <c r="E459" s="315">
        <f>E440</f>
        <v>89</v>
      </c>
      <c r="F459" s="333">
        <v>0</v>
      </c>
      <c r="G459" s="315">
        <f>G440</f>
        <v>43</v>
      </c>
      <c r="H459" s="333">
        <v>0</v>
      </c>
      <c r="I459" s="315">
        <f>I440</f>
        <v>27</v>
      </c>
      <c r="J459" s="360">
        <f t="shared" si="242"/>
        <v>159</v>
      </c>
      <c r="K459" s="60">
        <v>0</v>
      </c>
      <c r="L459" s="103">
        <f t="shared" si="243"/>
        <v>0</v>
      </c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</row>
    <row r="460" spans="1:41" s="48" customFormat="1" ht="24.95" customHeight="1">
      <c r="A460" s="29" t="s">
        <v>28</v>
      </c>
      <c r="B460" s="414" t="s">
        <v>435</v>
      </c>
      <c r="C460" s="414"/>
      <c r="D460" s="33" t="s">
        <v>23</v>
      </c>
      <c r="E460" s="315">
        <f>0.04*89*2</f>
        <v>7.12</v>
      </c>
      <c r="F460" s="333">
        <v>0</v>
      </c>
      <c r="G460" s="315">
        <f>0.04*43*2</f>
        <v>3.44</v>
      </c>
      <c r="H460" s="333">
        <v>0</v>
      </c>
      <c r="I460" s="315">
        <f>0.04*27*2</f>
        <v>2.16</v>
      </c>
      <c r="J460" s="360">
        <f t="shared" si="242"/>
        <v>12.72</v>
      </c>
      <c r="K460" s="60">
        <v>0</v>
      </c>
      <c r="L460" s="103">
        <f t="shared" si="243"/>
        <v>0</v>
      </c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</row>
    <row r="461" spans="1:41" s="48" customFormat="1" ht="24.95" customHeight="1">
      <c r="A461" s="389"/>
      <c r="B461" s="443" t="s">
        <v>436</v>
      </c>
      <c r="C461" s="443"/>
      <c r="D461" s="382" t="s">
        <v>14</v>
      </c>
      <c r="E461" s="384">
        <f>E440*3</f>
        <v>267</v>
      </c>
      <c r="F461" s="390">
        <v>0</v>
      </c>
      <c r="G461" s="384">
        <f>G440*3</f>
        <v>129</v>
      </c>
      <c r="H461" s="390">
        <v>0</v>
      </c>
      <c r="I461" s="384">
        <f>I440*3</f>
        <v>81</v>
      </c>
      <c r="J461" s="386">
        <f t="shared" si="242"/>
        <v>477</v>
      </c>
      <c r="K461" s="381">
        <v>0</v>
      </c>
      <c r="L461" s="387">
        <f t="shared" si="243"/>
        <v>0</v>
      </c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</row>
    <row r="462" spans="1:41" s="48" customFormat="1" ht="24.95" customHeight="1">
      <c r="A462" s="382" t="s">
        <v>27</v>
      </c>
      <c r="B462" s="444" t="s">
        <v>437</v>
      </c>
      <c r="C462" s="444"/>
      <c r="D462" s="382" t="s">
        <v>145</v>
      </c>
      <c r="E462" s="391">
        <v>57.4</v>
      </c>
      <c r="F462" s="390">
        <v>0</v>
      </c>
      <c r="G462" s="391">
        <v>31</v>
      </c>
      <c r="H462" s="390">
        <v>0</v>
      </c>
      <c r="I462" s="391">
        <v>36</v>
      </c>
      <c r="J462" s="386">
        <f t="shared" si="242"/>
        <v>124.4</v>
      </c>
      <c r="K462" s="381">
        <v>0</v>
      </c>
      <c r="L462" s="387">
        <f t="shared" si="243"/>
        <v>0</v>
      </c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</row>
    <row r="463" spans="1:41" s="48" customFormat="1" ht="24.95" customHeight="1">
      <c r="A463" s="382" t="s">
        <v>28</v>
      </c>
      <c r="B463" s="444" t="s">
        <v>274</v>
      </c>
      <c r="C463" s="444"/>
      <c r="D463" s="382" t="s">
        <v>145</v>
      </c>
      <c r="E463" s="391">
        <v>57.4</v>
      </c>
      <c r="F463" s="390">
        <v>0</v>
      </c>
      <c r="G463" s="391">
        <v>31</v>
      </c>
      <c r="H463" s="390">
        <v>0</v>
      </c>
      <c r="I463" s="391">
        <v>36</v>
      </c>
      <c r="J463" s="386">
        <f t="shared" si="242"/>
        <v>124.4</v>
      </c>
      <c r="K463" s="381">
        <v>0</v>
      </c>
      <c r="L463" s="387">
        <f t="shared" si="243"/>
        <v>0</v>
      </c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</row>
    <row r="464" spans="1:41" s="98" customFormat="1" ht="24.75" customHeight="1">
      <c r="A464" s="95"/>
      <c r="B464" s="408" t="s">
        <v>368</v>
      </c>
      <c r="C464" s="408"/>
      <c r="D464" s="408"/>
      <c r="E464" s="408"/>
      <c r="F464" s="408"/>
      <c r="G464" s="408"/>
      <c r="H464" s="408"/>
      <c r="I464" s="408"/>
      <c r="J464" s="408"/>
      <c r="K464" s="408"/>
      <c r="L464" s="96">
        <f>SUM(L437:L463)</f>
        <v>0</v>
      </c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47"/>
      <c r="AE464" s="147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</row>
    <row r="465" spans="1:41" s="42" customFormat="1" ht="35.1" customHeight="1">
      <c r="A465" s="126"/>
      <c r="B465" s="440" t="s">
        <v>463</v>
      </c>
      <c r="C465" s="440"/>
      <c r="D465" s="440"/>
      <c r="E465" s="440"/>
      <c r="F465" s="440"/>
      <c r="G465" s="440"/>
      <c r="H465" s="440"/>
      <c r="I465" s="440"/>
      <c r="J465" s="440"/>
      <c r="K465" s="440"/>
      <c r="L465" s="127">
        <f>SUM(L464)</f>
        <v>0</v>
      </c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</row>
    <row r="466" spans="1:41" s="48" customFormat="1" ht="31.5" customHeight="1">
      <c r="A466" s="110"/>
      <c r="B466" s="447" t="s">
        <v>358</v>
      </c>
      <c r="C466" s="447"/>
      <c r="D466" s="447"/>
      <c r="E466" s="447"/>
      <c r="F466" s="447"/>
      <c r="G466" s="447"/>
      <c r="H466" s="447"/>
      <c r="I466" s="447"/>
      <c r="J466" s="447"/>
      <c r="K466" s="447"/>
      <c r="L466" s="447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</row>
    <row r="467" spans="1:41" s="31" customFormat="1" ht="24.95" customHeight="1">
      <c r="A467" s="396"/>
      <c r="B467" s="397" t="s">
        <v>7</v>
      </c>
      <c r="C467" s="397"/>
      <c r="D467" s="397" t="s">
        <v>221</v>
      </c>
      <c r="E467" s="398" t="s">
        <v>115</v>
      </c>
      <c r="F467" s="398"/>
      <c r="G467" s="398"/>
      <c r="H467" s="398"/>
      <c r="I467" s="398"/>
      <c r="J467" s="398"/>
      <c r="K467" s="399" t="s">
        <v>4</v>
      </c>
      <c r="L467" s="400" t="s">
        <v>116</v>
      </c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</row>
    <row r="468" spans="1:41" s="6" customFormat="1" ht="24.95" customHeight="1">
      <c r="A468" s="396"/>
      <c r="B468" s="397"/>
      <c r="C468" s="397"/>
      <c r="D468" s="397"/>
      <c r="E468" s="267" t="s">
        <v>276</v>
      </c>
      <c r="F468" s="267" t="s">
        <v>277</v>
      </c>
      <c r="G468" s="267" t="s">
        <v>383</v>
      </c>
      <c r="H468" s="267" t="s">
        <v>384</v>
      </c>
      <c r="I468" s="267" t="s">
        <v>385</v>
      </c>
      <c r="J468" s="270" t="s">
        <v>8</v>
      </c>
      <c r="K468" s="399"/>
      <c r="L468" s="400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</row>
    <row r="469" spans="1:41" s="48" customFormat="1" ht="24.95" customHeight="1">
      <c r="A469" s="46" t="s">
        <v>28</v>
      </c>
      <c r="B469" s="401" t="s">
        <v>359</v>
      </c>
      <c r="C469" s="401"/>
      <c r="D469" s="47" t="s">
        <v>9</v>
      </c>
      <c r="E469" s="294">
        <v>0</v>
      </c>
      <c r="F469" s="294">
        <v>0</v>
      </c>
      <c r="G469" s="294">
        <v>0</v>
      </c>
      <c r="H469" s="294">
        <v>2</v>
      </c>
      <c r="I469" s="294">
        <v>2</v>
      </c>
      <c r="J469" s="361">
        <f aca="true" t="shared" si="244" ref="J469:J474">SUM(E469:I469)</f>
        <v>4</v>
      </c>
      <c r="K469" s="60">
        <v>0</v>
      </c>
      <c r="L469" s="67">
        <f>J469*K469</f>
        <v>0</v>
      </c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</row>
    <row r="470" spans="1:41" s="48" customFormat="1" ht="24.95" customHeight="1">
      <c r="A470" s="46" t="s">
        <v>360</v>
      </c>
      <c r="B470" s="401" t="s">
        <v>361</v>
      </c>
      <c r="C470" s="401"/>
      <c r="D470" s="47" t="s">
        <v>9</v>
      </c>
      <c r="E470" s="294">
        <v>0</v>
      </c>
      <c r="F470" s="294">
        <v>0</v>
      </c>
      <c r="G470" s="294">
        <v>0</v>
      </c>
      <c r="H470" s="294">
        <v>4</v>
      </c>
      <c r="I470" s="294">
        <v>4</v>
      </c>
      <c r="J470" s="361">
        <f t="shared" si="244"/>
        <v>8</v>
      </c>
      <c r="K470" s="60">
        <v>0</v>
      </c>
      <c r="L470" s="67">
        <f aca="true" t="shared" si="245" ref="L470:L472">J470*K470</f>
        <v>0</v>
      </c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</row>
    <row r="471" spans="1:41" s="48" customFormat="1" ht="24.95" customHeight="1">
      <c r="A471" s="49" t="s">
        <v>27</v>
      </c>
      <c r="B471" s="402" t="s">
        <v>362</v>
      </c>
      <c r="C471" s="402"/>
      <c r="D471" s="47" t="s">
        <v>9</v>
      </c>
      <c r="E471" s="294">
        <v>0</v>
      </c>
      <c r="F471" s="294">
        <v>0</v>
      </c>
      <c r="G471" s="294">
        <v>0</v>
      </c>
      <c r="H471" s="294">
        <v>2</v>
      </c>
      <c r="I471" s="294">
        <v>2</v>
      </c>
      <c r="J471" s="361">
        <f t="shared" si="244"/>
        <v>4</v>
      </c>
      <c r="K471" s="60">
        <v>0</v>
      </c>
      <c r="L471" s="67">
        <f t="shared" si="245"/>
        <v>0</v>
      </c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</row>
    <row r="472" spans="1:41" s="48" customFormat="1" ht="24.95" customHeight="1">
      <c r="A472" s="46" t="s">
        <v>28</v>
      </c>
      <c r="B472" s="401" t="s">
        <v>363</v>
      </c>
      <c r="C472" s="401"/>
      <c r="D472" s="47" t="s">
        <v>9</v>
      </c>
      <c r="E472" s="294">
        <v>0</v>
      </c>
      <c r="F472" s="294">
        <v>0</v>
      </c>
      <c r="G472" s="294">
        <v>0</v>
      </c>
      <c r="H472" s="294">
        <v>2</v>
      </c>
      <c r="I472" s="294">
        <v>2</v>
      </c>
      <c r="J472" s="361">
        <f t="shared" si="244"/>
        <v>4</v>
      </c>
      <c r="K472" s="60">
        <v>0</v>
      </c>
      <c r="L472" s="67">
        <f t="shared" si="245"/>
        <v>0</v>
      </c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</row>
    <row r="473" spans="1:41" s="48" customFormat="1" ht="29.25" customHeight="1">
      <c r="A473" s="46" t="s">
        <v>360</v>
      </c>
      <c r="B473" s="401" t="s">
        <v>364</v>
      </c>
      <c r="C473" s="401"/>
      <c r="D473" s="47" t="s">
        <v>9</v>
      </c>
      <c r="E473" s="294">
        <v>0</v>
      </c>
      <c r="F473" s="294">
        <v>0</v>
      </c>
      <c r="G473" s="294">
        <v>0</v>
      </c>
      <c r="H473" s="294">
        <v>2</v>
      </c>
      <c r="I473" s="294">
        <v>2</v>
      </c>
      <c r="J473" s="361">
        <f t="shared" si="244"/>
        <v>4</v>
      </c>
      <c r="K473" s="60">
        <v>0</v>
      </c>
      <c r="L473" s="67">
        <f>J473*K473</f>
        <v>0</v>
      </c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</row>
    <row r="474" spans="1:41" s="50" customFormat="1" ht="29.25" customHeight="1">
      <c r="A474" s="49" t="s">
        <v>27</v>
      </c>
      <c r="B474" s="402" t="s">
        <v>365</v>
      </c>
      <c r="C474" s="402"/>
      <c r="D474" s="47" t="s">
        <v>9</v>
      </c>
      <c r="E474" s="294">
        <v>0</v>
      </c>
      <c r="F474" s="294">
        <v>0</v>
      </c>
      <c r="G474" s="294">
        <v>0</v>
      </c>
      <c r="H474" s="294">
        <v>2</v>
      </c>
      <c r="I474" s="294">
        <v>2</v>
      </c>
      <c r="J474" s="361">
        <f t="shared" si="244"/>
        <v>4</v>
      </c>
      <c r="K474" s="60">
        <v>0</v>
      </c>
      <c r="L474" s="67">
        <f>J474*K474</f>
        <v>0</v>
      </c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</row>
    <row r="475" spans="1:41" s="48" customFormat="1" ht="29.25" customHeight="1">
      <c r="A475" s="110"/>
      <c r="B475" s="446" t="s">
        <v>366</v>
      </c>
      <c r="C475" s="446"/>
      <c r="D475" s="446"/>
      <c r="E475" s="446"/>
      <c r="F475" s="446"/>
      <c r="G475" s="446"/>
      <c r="H475" s="446"/>
      <c r="I475" s="446"/>
      <c r="J475" s="446"/>
      <c r="K475" s="446"/>
      <c r="L475" s="97">
        <f>SUM(L469:L474)</f>
        <v>0</v>
      </c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</row>
    <row r="476" spans="1:12" ht="37.5" customHeight="1">
      <c r="A476" s="94"/>
      <c r="B476" s="442" t="s">
        <v>460</v>
      </c>
      <c r="C476" s="442"/>
      <c r="D476" s="442"/>
      <c r="E476" s="442"/>
      <c r="F476" s="442"/>
      <c r="G476" s="442"/>
      <c r="H476" s="442"/>
      <c r="I476" s="442"/>
      <c r="J476" s="442"/>
      <c r="K476" s="442"/>
      <c r="L476" s="442"/>
    </row>
    <row r="477" spans="1:41" s="31" customFormat="1" ht="24.95" customHeight="1">
      <c r="A477" s="396"/>
      <c r="B477" s="397" t="s">
        <v>7</v>
      </c>
      <c r="C477" s="397"/>
      <c r="D477" s="397" t="s">
        <v>221</v>
      </c>
      <c r="E477" s="398" t="s">
        <v>115</v>
      </c>
      <c r="F477" s="398"/>
      <c r="G477" s="398"/>
      <c r="H477" s="398"/>
      <c r="I477" s="398"/>
      <c r="J477" s="398"/>
      <c r="K477" s="399" t="s">
        <v>4</v>
      </c>
      <c r="L477" s="400" t="s">
        <v>116</v>
      </c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</row>
    <row r="478" spans="1:41" s="6" customFormat="1" ht="24.95" customHeight="1">
      <c r="A478" s="396"/>
      <c r="B478" s="397"/>
      <c r="C478" s="397"/>
      <c r="D478" s="397"/>
      <c r="E478" s="267" t="s">
        <v>276</v>
      </c>
      <c r="F478" s="267" t="s">
        <v>277</v>
      </c>
      <c r="G478" s="267" t="s">
        <v>383</v>
      </c>
      <c r="H478" s="267" t="s">
        <v>384</v>
      </c>
      <c r="I478" s="267" t="s">
        <v>385</v>
      </c>
      <c r="J478" s="270" t="s">
        <v>8</v>
      </c>
      <c r="K478" s="399"/>
      <c r="L478" s="400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</row>
    <row r="479" spans="1:41" s="8" customFormat="1" ht="24.95" customHeight="1">
      <c r="A479" s="11"/>
      <c r="B479" s="392" t="s">
        <v>350</v>
      </c>
      <c r="C479" s="392"/>
      <c r="D479" s="392"/>
      <c r="E479" s="392"/>
      <c r="F479" s="392"/>
      <c r="G479" s="392"/>
      <c r="H479" s="392"/>
      <c r="I479" s="392"/>
      <c r="J479" s="392"/>
      <c r="K479" s="392"/>
      <c r="L479" s="392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/>
      <c r="AJ479" s="135"/>
      <c r="AK479" s="135"/>
      <c r="AL479" s="135"/>
      <c r="AM479" s="135"/>
      <c r="AN479" s="135"/>
      <c r="AO479" s="135"/>
    </row>
    <row r="480" spans="1:41" s="8" customFormat="1" ht="24.95" customHeight="1">
      <c r="A480" s="11" t="s">
        <v>27</v>
      </c>
      <c r="B480" s="393" t="s">
        <v>352</v>
      </c>
      <c r="C480" s="394"/>
      <c r="D480" s="25" t="s">
        <v>269</v>
      </c>
      <c r="E480" s="320">
        <v>0</v>
      </c>
      <c r="F480" s="278">
        <v>1</v>
      </c>
      <c r="G480" s="320">
        <v>0</v>
      </c>
      <c r="H480" s="320">
        <v>0</v>
      </c>
      <c r="I480" s="320">
        <v>0</v>
      </c>
      <c r="J480" s="338">
        <f>SUM(E480:I480)</f>
        <v>1</v>
      </c>
      <c r="K480" s="60">
        <v>0</v>
      </c>
      <c r="L480" s="62">
        <f>J480*K480</f>
        <v>0</v>
      </c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</row>
    <row r="481" spans="1:12" ht="24.95" customHeight="1">
      <c r="A481" s="11"/>
      <c r="B481" s="445" t="s">
        <v>351</v>
      </c>
      <c r="C481" s="445"/>
      <c r="D481" s="22"/>
      <c r="E481" s="237"/>
      <c r="F481" s="237"/>
      <c r="G481" s="237"/>
      <c r="H481" s="237"/>
      <c r="I481" s="237"/>
      <c r="J481" s="239"/>
      <c r="K481" s="23"/>
      <c r="L481" s="65">
        <f>SUM(L480:L480)</f>
        <v>0</v>
      </c>
    </row>
    <row r="482" spans="1:41" s="8" customFormat="1" ht="24.95" customHeight="1">
      <c r="A482" s="11"/>
      <c r="B482" s="392" t="s">
        <v>369</v>
      </c>
      <c r="C482" s="392"/>
      <c r="D482" s="392"/>
      <c r="E482" s="392"/>
      <c r="F482" s="392"/>
      <c r="G482" s="392"/>
      <c r="H482" s="392"/>
      <c r="I482" s="392"/>
      <c r="J482" s="392"/>
      <c r="K482" s="392"/>
      <c r="L482" s="392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</row>
    <row r="483" spans="1:41" s="8" customFormat="1" ht="24.95" customHeight="1">
      <c r="A483" s="100">
        <v>132201101</v>
      </c>
      <c r="B483" s="393" t="s">
        <v>374</v>
      </c>
      <c r="C483" s="394"/>
      <c r="D483" s="25" t="s">
        <v>15</v>
      </c>
      <c r="E483" s="320">
        <v>62.8</v>
      </c>
      <c r="F483" s="320">
        <v>0</v>
      </c>
      <c r="G483" s="320">
        <v>0</v>
      </c>
      <c r="H483" s="320">
        <v>0</v>
      </c>
      <c r="I483" s="320">
        <v>0</v>
      </c>
      <c r="J483" s="338">
        <f>SUM(E483:I483)</f>
        <v>62.8</v>
      </c>
      <c r="K483" s="60">
        <v>0</v>
      </c>
      <c r="L483" s="62">
        <f>J483*K483</f>
        <v>0</v>
      </c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  <c r="AK483" s="135"/>
      <c r="AL483" s="135"/>
      <c r="AM483" s="135"/>
      <c r="AN483" s="135"/>
      <c r="AO483" s="135"/>
    </row>
    <row r="484" spans="1:41" s="8" customFormat="1" ht="24.95" customHeight="1">
      <c r="A484" s="100">
        <v>339921111</v>
      </c>
      <c r="B484" s="393" t="s">
        <v>373</v>
      </c>
      <c r="C484" s="394"/>
      <c r="D484" s="25" t="s">
        <v>9</v>
      </c>
      <c r="E484" s="320">
        <v>698</v>
      </c>
      <c r="F484" s="320">
        <v>0</v>
      </c>
      <c r="G484" s="320">
        <v>0</v>
      </c>
      <c r="H484" s="320">
        <v>0</v>
      </c>
      <c r="I484" s="320">
        <v>0</v>
      </c>
      <c r="J484" s="338">
        <f>SUM(E484:I484)</f>
        <v>698</v>
      </c>
      <c r="K484" s="60">
        <v>0</v>
      </c>
      <c r="L484" s="62">
        <f>J484*K484</f>
        <v>0</v>
      </c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</row>
    <row r="485" spans="1:41" s="8" customFormat="1" ht="24.95" customHeight="1">
      <c r="A485" s="101" t="s">
        <v>28</v>
      </c>
      <c r="B485" s="108" t="s">
        <v>376</v>
      </c>
      <c r="C485" s="106"/>
      <c r="D485" s="25" t="s">
        <v>9</v>
      </c>
      <c r="E485" s="320">
        <v>698</v>
      </c>
      <c r="F485" s="320">
        <v>0</v>
      </c>
      <c r="G485" s="320">
        <v>0</v>
      </c>
      <c r="H485" s="320">
        <v>0</v>
      </c>
      <c r="I485" s="320">
        <v>0</v>
      </c>
      <c r="J485" s="338">
        <f>SUM(E485:I485)</f>
        <v>698</v>
      </c>
      <c r="K485" s="60">
        <v>0</v>
      </c>
      <c r="L485" s="62">
        <f>J485*K485</f>
        <v>0</v>
      </c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  <c r="AJ485" s="135"/>
      <c r="AK485" s="135"/>
      <c r="AL485" s="135"/>
      <c r="AM485" s="135"/>
      <c r="AN485" s="135"/>
      <c r="AO485" s="135"/>
    </row>
    <row r="486" spans="1:41" s="8" customFormat="1" ht="24.95" customHeight="1">
      <c r="A486" s="101" t="s">
        <v>27</v>
      </c>
      <c r="B486" s="522" t="s">
        <v>375</v>
      </c>
      <c r="C486" s="523"/>
      <c r="D486" s="25" t="s">
        <v>145</v>
      </c>
      <c r="E486" s="320">
        <v>104.7</v>
      </c>
      <c r="F486" s="320">
        <v>0</v>
      </c>
      <c r="G486" s="320">
        <v>0</v>
      </c>
      <c r="H486" s="320">
        <v>0</v>
      </c>
      <c r="I486" s="320">
        <v>0</v>
      </c>
      <c r="J486" s="338">
        <f>SUM(E486:I486)</f>
        <v>104.7</v>
      </c>
      <c r="K486" s="60">
        <v>0</v>
      </c>
      <c r="L486" s="62">
        <f>J486*K486</f>
        <v>0</v>
      </c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</row>
    <row r="487" spans="1:12" ht="24.95" customHeight="1">
      <c r="A487" s="11"/>
      <c r="B487" s="445" t="s">
        <v>370</v>
      </c>
      <c r="C487" s="445"/>
      <c r="D487" s="22"/>
      <c r="E487" s="237"/>
      <c r="F487" s="237"/>
      <c r="G487" s="237"/>
      <c r="H487" s="237"/>
      <c r="I487" s="237"/>
      <c r="J487" s="239"/>
      <c r="K487" s="23"/>
      <c r="L487" s="65">
        <f>SUM(L483:L486)</f>
        <v>0</v>
      </c>
    </row>
    <row r="488" spans="1:41" s="8" customFormat="1" ht="24.95" customHeight="1">
      <c r="A488" s="11"/>
      <c r="B488" s="392" t="s">
        <v>371</v>
      </c>
      <c r="C488" s="392"/>
      <c r="D488" s="392"/>
      <c r="E488" s="392"/>
      <c r="F488" s="392"/>
      <c r="G488" s="392"/>
      <c r="H488" s="392"/>
      <c r="I488" s="392"/>
      <c r="J488" s="392"/>
      <c r="K488" s="392"/>
      <c r="L488" s="392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</row>
    <row r="489" spans="1:41" s="8" customFormat="1" ht="24.95" customHeight="1">
      <c r="A489" s="101" t="s">
        <v>28</v>
      </c>
      <c r="B489" s="393" t="s">
        <v>380</v>
      </c>
      <c r="C489" s="394"/>
      <c r="D489" s="25" t="s">
        <v>14</v>
      </c>
      <c r="E489" s="320">
        <v>0</v>
      </c>
      <c r="F489" s="278">
        <v>8</v>
      </c>
      <c r="G489" s="320">
        <v>0</v>
      </c>
      <c r="H489" s="320">
        <v>0</v>
      </c>
      <c r="I489" s="320">
        <v>0</v>
      </c>
      <c r="J489" s="338">
        <f>SUM(E489:I489)</f>
        <v>8</v>
      </c>
      <c r="K489" s="60">
        <v>0</v>
      </c>
      <c r="L489" s="62">
        <f>J489*K489</f>
        <v>0</v>
      </c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  <c r="AJ489" s="135"/>
      <c r="AK489" s="135"/>
      <c r="AL489" s="135"/>
      <c r="AM489" s="135"/>
      <c r="AN489" s="135"/>
      <c r="AO489" s="135"/>
    </row>
    <row r="490" spans="1:41" s="8" customFormat="1" ht="24.95" customHeight="1">
      <c r="A490" s="101" t="s">
        <v>27</v>
      </c>
      <c r="B490" s="393" t="s">
        <v>465</v>
      </c>
      <c r="C490" s="393"/>
      <c r="D490" s="25" t="s">
        <v>269</v>
      </c>
      <c r="E490" s="320">
        <v>0</v>
      </c>
      <c r="F490" s="278">
        <v>1</v>
      </c>
      <c r="G490" s="320">
        <v>0</v>
      </c>
      <c r="H490" s="320">
        <v>0</v>
      </c>
      <c r="I490" s="320">
        <v>0</v>
      </c>
      <c r="J490" s="338">
        <f>SUM(E490:I490)</f>
        <v>1</v>
      </c>
      <c r="K490" s="60">
        <v>0</v>
      </c>
      <c r="L490" s="62">
        <f aca="true" t="shared" si="246" ref="L490:L491">J490*K490</f>
        <v>0</v>
      </c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35"/>
      <c r="AM490" s="135"/>
      <c r="AN490" s="135"/>
      <c r="AO490" s="135"/>
    </row>
    <row r="491" spans="1:41" s="8" customFormat="1" ht="24.95" customHeight="1">
      <c r="A491" s="101" t="s">
        <v>27</v>
      </c>
      <c r="B491" s="393" t="s">
        <v>466</v>
      </c>
      <c r="C491" s="393"/>
      <c r="D491" s="25" t="s">
        <v>269</v>
      </c>
      <c r="E491" s="320">
        <v>0</v>
      </c>
      <c r="F491" s="278">
        <v>1</v>
      </c>
      <c r="G491" s="320">
        <v>0</v>
      </c>
      <c r="H491" s="320">
        <v>0</v>
      </c>
      <c r="I491" s="320">
        <v>0</v>
      </c>
      <c r="J491" s="338">
        <f>SUM(E491:I491)</f>
        <v>1</v>
      </c>
      <c r="K491" s="60">
        <v>0</v>
      </c>
      <c r="L491" s="62">
        <f t="shared" si="246"/>
        <v>0</v>
      </c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/>
      <c r="AJ491" s="135"/>
      <c r="AK491" s="135"/>
      <c r="AL491" s="135"/>
      <c r="AM491" s="135"/>
      <c r="AN491" s="135"/>
      <c r="AO491" s="135"/>
    </row>
    <row r="492" spans="1:12" ht="24.95" customHeight="1">
      <c r="A492" s="11"/>
      <c r="B492" s="445" t="s">
        <v>372</v>
      </c>
      <c r="C492" s="445"/>
      <c r="D492" s="22"/>
      <c r="E492" s="237"/>
      <c r="F492" s="237"/>
      <c r="G492" s="237"/>
      <c r="H492" s="237"/>
      <c r="I492" s="237"/>
      <c r="J492" s="362"/>
      <c r="K492" s="23"/>
      <c r="L492" s="65">
        <f>SUM(L489:L491)</f>
        <v>0</v>
      </c>
    </row>
    <row r="493" spans="1:41" s="8" customFormat="1" ht="24.95" customHeight="1">
      <c r="A493" s="11"/>
      <c r="B493" s="392" t="s">
        <v>439</v>
      </c>
      <c r="C493" s="392"/>
      <c r="D493" s="392"/>
      <c r="E493" s="392"/>
      <c r="F493" s="392"/>
      <c r="G493" s="392"/>
      <c r="H493" s="392"/>
      <c r="I493" s="392"/>
      <c r="J493" s="392"/>
      <c r="K493" s="392"/>
      <c r="L493" s="392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  <c r="AJ493" s="135"/>
      <c r="AK493" s="135"/>
      <c r="AL493" s="135"/>
      <c r="AM493" s="135"/>
      <c r="AN493" s="135"/>
      <c r="AO493" s="135"/>
    </row>
    <row r="494" spans="1:41" s="8" customFormat="1" ht="24.95" customHeight="1">
      <c r="A494" s="101" t="s">
        <v>28</v>
      </c>
      <c r="B494" s="393" t="s">
        <v>452</v>
      </c>
      <c r="C494" s="394"/>
      <c r="D494" s="25" t="s">
        <v>9</v>
      </c>
      <c r="E494" s="320">
        <v>0</v>
      </c>
      <c r="F494" s="320">
        <v>0</v>
      </c>
      <c r="G494" s="320">
        <v>4</v>
      </c>
      <c r="H494" s="320">
        <v>0</v>
      </c>
      <c r="I494" s="320">
        <v>0</v>
      </c>
      <c r="J494" s="338">
        <f>SUM(E494:I494)</f>
        <v>4</v>
      </c>
      <c r="K494" s="60">
        <v>0</v>
      </c>
      <c r="L494" s="62">
        <f>J494*K494</f>
        <v>0</v>
      </c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</row>
    <row r="495" spans="1:41" s="8" customFormat="1" ht="24.95" customHeight="1">
      <c r="A495" s="101" t="s">
        <v>27</v>
      </c>
      <c r="B495" s="393" t="s">
        <v>453</v>
      </c>
      <c r="C495" s="393"/>
      <c r="D495" s="25" t="s">
        <v>9</v>
      </c>
      <c r="E495" s="320">
        <v>0</v>
      </c>
      <c r="F495" s="320">
        <v>0</v>
      </c>
      <c r="G495" s="320">
        <v>4</v>
      </c>
      <c r="H495" s="320">
        <v>0</v>
      </c>
      <c r="I495" s="320">
        <v>0</v>
      </c>
      <c r="J495" s="338">
        <f>SUM(E495:I495)</f>
        <v>4</v>
      </c>
      <c r="K495" s="60">
        <v>0</v>
      </c>
      <c r="L495" s="62">
        <f>J495*K495</f>
        <v>0</v>
      </c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35"/>
      <c r="AM495" s="135"/>
      <c r="AN495" s="135"/>
      <c r="AO495" s="135"/>
    </row>
    <row r="496" spans="1:12" ht="24.95" customHeight="1">
      <c r="A496" s="11"/>
      <c r="B496" s="445" t="s">
        <v>440</v>
      </c>
      <c r="C496" s="445"/>
      <c r="D496" s="22"/>
      <c r="E496" s="237"/>
      <c r="F496" s="237"/>
      <c r="G496" s="237"/>
      <c r="H496" s="237"/>
      <c r="I496" s="237"/>
      <c r="J496" s="239"/>
      <c r="K496" s="23"/>
      <c r="L496" s="65">
        <f>SUM(L494:L495)</f>
        <v>0</v>
      </c>
    </row>
    <row r="497" spans="1:41" s="31" customFormat="1" ht="24.95" customHeight="1">
      <c r="A497" s="396"/>
      <c r="B497" s="397" t="s">
        <v>7</v>
      </c>
      <c r="C497" s="397"/>
      <c r="D497" s="397" t="s">
        <v>221</v>
      </c>
      <c r="E497" s="398" t="s">
        <v>115</v>
      </c>
      <c r="F497" s="398"/>
      <c r="G497" s="398"/>
      <c r="H497" s="398"/>
      <c r="I497" s="398"/>
      <c r="J497" s="398"/>
      <c r="K497" s="399" t="s">
        <v>4</v>
      </c>
      <c r="L497" s="400" t="s">
        <v>116</v>
      </c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</row>
    <row r="498" spans="1:41" s="6" customFormat="1" ht="24.95" customHeight="1">
      <c r="A498" s="396"/>
      <c r="B498" s="397"/>
      <c r="C498" s="397"/>
      <c r="D498" s="397"/>
      <c r="E498" s="267" t="s">
        <v>276</v>
      </c>
      <c r="F498" s="267" t="s">
        <v>277</v>
      </c>
      <c r="G498" s="267" t="s">
        <v>383</v>
      </c>
      <c r="H498" s="267" t="s">
        <v>384</v>
      </c>
      <c r="I498" s="267" t="s">
        <v>385</v>
      </c>
      <c r="J498" s="270" t="s">
        <v>8</v>
      </c>
      <c r="K498" s="399"/>
      <c r="L498" s="400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</row>
    <row r="499" spans="1:41" s="8" customFormat="1" ht="24.95" customHeight="1">
      <c r="A499" s="11"/>
      <c r="B499" s="392" t="s">
        <v>442</v>
      </c>
      <c r="C499" s="392"/>
      <c r="D499" s="392"/>
      <c r="E499" s="392"/>
      <c r="F499" s="392"/>
      <c r="G499" s="392"/>
      <c r="H499" s="392"/>
      <c r="I499" s="392"/>
      <c r="J499" s="392"/>
      <c r="K499" s="392"/>
      <c r="L499" s="392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  <c r="AJ499" s="135"/>
      <c r="AK499" s="135"/>
      <c r="AL499" s="135"/>
      <c r="AM499" s="135"/>
      <c r="AN499" s="135"/>
      <c r="AO499" s="135"/>
    </row>
    <row r="500" spans="1:41" s="8" customFormat="1" ht="24.95" customHeight="1">
      <c r="A500" s="101" t="s">
        <v>28</v>
      </c>
      <c r="B500" s="393" t="s">
        <v>444</v>
      </c>
      <c r="C500" s="394"/>
      <c r="D500" s="25" t="s">
        <v>9</v>
      </c>
      <c r="E500" s="278">
        <v>0</v>
      </c>
      <c r="F500" s="278">
        <v>0</v>
      </c>
      <c r="G500" s="278">
        <v>0</v>
      </c>
      <c r="H500" s="278">
        <v>0</v>
      </c>
      <c r="I500" s="278">
        <v>1</v>
      </c>
      <c r="J500" s="285">
        <f aca="true" t="shared" si="247" ref="J500:J514">SUM(E500:I500)</f>
        <v>1</v>
      </c>
      <c r="K500" s="60">
        <v>0</v>
      </c>
      <c r="L500" s="62">
        <f>J500*K500</f>
        <v>0</v>
      </c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</row>
    <row r="501" spans="1:41" s="8" customFormat="1" ht="24.95" customHeight="1">
      <c r="A501" s="101" t="s">
        <v>27</v>
      </c>
      <c r="B501" s="393" t="s">
        <v>443</v>
      </c>
      <c r="C501" s="394"/>
      <c r="D501" s="25" t="s">
        <v>9</v>
      </c>
      <c r="E501" s="278">
        <v>0</v>
      </c>
      <c r="F501" s="278">
        <v>0</v>
      </c>
      <c r="G501" s="278">
        <v>0</v>
      </c>
      <c r="H501" s="278">
        <v>0</v>
      </c>
      <c r="I501" s="278">
        <v>1</v>
      </c>
      <c r="J501" s="285">
        <f t="shared" si="247"/>
        <v>1</v>
      </c>
      <c r="K501" s="60">
        <v>0</v>
      </c>
      <c r="L501" s="62">
        <f aca="true" t="shared" si="248" ref="L501:L514">J501*K501</f>
        <v>0</v>
      </c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</row>
    <row r="502" spans="1:41" s="8" customFormat="1" ht="24.95" customHeight="1">
      <c r="A502" s="101" t="s">
        <v>27</v>
      </c>
      <c r="B502" s="108" t="s">
        <v>445</v>
      </c>
      <c r="C502" s="106"/>
      <c r="D502" s="25" t="s">
        <v>9</v>
      </c>
      <c r="E502" s="278">
        <v>0</v>
      </c>
      <c r="F502" s="278">
        <v>0</v>
      </c>
      <c r="G502" s="278">
        <v>0</v>
      </c>
      <c r="H502" s="278">
        <v>0</v>
      </c>
      <c r="I502" s="278">
        <v>1</v>
      </c>
      <c r="J502" s="285">
        <f t="shared" si="247"/>
        <v>1</v>
      </c>
      <c r="K502" s="60">
        <v>0</v>
      </c>
      <c r="L502" s="62">
        <f t="shared" si="248"/>
        <v>0</v>
      </c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  <c r="AJ502" s="135"/>
      <c r="AK502" s="135"/>
      <c r="AL502" s="135"/>
      <c r="AM502" s="135"/>
      <c r="AN502" s="135"/>
      <c r="AO502" s="135"/>
    </row>
    <row r="503" spans="1:12" ht="24.95" customHeight="1">
      <c r="A503" s="172" t="s">
        <v>28</v>
      </c>
      <c r="B503" s="173" t="s">
        <v>446</v>
      </c>
      <c r="C503" s="173"/>
      <c r="D503" s="171" t="s">
        <v>9</v>
      </c>
      <c r="E503" s="278">
        <v>0</v>
      </c>
      <c r="F503" s="278">
        <v>0</v>
      </c>
      <c r="G503" s="278">
        <v>0</v>
      </c>
      <c r="H503" s="278">
        <v>1</v>
      </c>
      <c r="I503" s="278">
        <v>0</v>
      </c>
      <c r="J503" s="285">
        <f t="shared" si="247"/>
        <v>1</v>
      </c>
      <c r="K503" s="60">
        <v>0</v>
      </c>
      <c r="L503" s="170">
        <f t="shared" si="248"/>
        <v>0</v>
      </c>
    </row>
    <row r="504" spans="1:12" ht="24.95" customHeight="1">
      <c r="A504" s="172" t="s">
        <v>27</v>
      </c>
      <c r="B504" s="395" t="s">
        <v>447</v>
      </c>
      <c r="C504" s="395"/>
      <c r="D504" s="171" t="s">
        <v>9</v>
      </c>
      <c r="E504" s="278">
        <v>0</v>
      </c>
      <c r="F504" s="278">
        <v>0</v>
      </c>
      <c r="G504" s="278">
        <v>0</v>
      </c>
      <c r="H504" s="278">
        <v>1</v>
      </c>
      <c r="I504" s="278">
        <v>0</v>
      </c>
      <c r="J504" s="285">
        <f t="shared" si="247"/>
        <v>1</v>
      </c>
      <c r="K504" s="60">
        <v>0</v>
      </c>
      <c r="L504" s="170">
        <f t="shared" si="248"/>
        <v>0</v>
      </c>
    </row>
    <row r="505" spans="1:12" ht="24.95" customHeight="1">
      <c r="A505" s="172" t="s">
        <v>27</v>
      </c>
      <c r="B505" s="173" t="s">
        <v>448</v>
      </c>
      <c r="C505" s="173"/>
      <c r="D505" s="171" t="s">
        <v>9</v>
      </c>
      <c r="E505" s="278">
        <v>0</v>
      </c>
      <c r="F505" s="278">
        <v>0</v>
      </c>
      <c r="G505" s="278">
        <v>0</v>
      </c>
      <c r="H505" s="278">
        <v>1</v>
      </c>
      <c r="I505" s="278">
        <v>0</v>
      </c>
      <c r="J505" s="285">
        <f t="shared" si="247"/>
        <v>1</v>
      </c>
      <c r="K505" s="60">
        <v>0</v>
      </c>
      <c r="L505" s="170">
        <f t="shared" si="248"/>
        <v>0</v>
      </c>
    </row>
    <row r="506" spans="1:12" ht="24.95" customHeight="1">
      <c r="A506" s="172" t="s">
        <v>28</v>
      </c>
      <c r="B506" s="173" t="s">
        <v>449</v>
      </c>
      <c r="C506" s="173"/>
      <c r="D506" s="171" t="s">
        <v>9</v>
      </c>
      <c r="E506" s="278">
        <v>0</v>
      </c>
      <c r="F506" s="278">
        <v>0</v>
      </c>
      <c r="G506" s="278">
        <v>0</v>
      </c>
      <c r="H506" s="278">
        <v>1</v>
      </c>
      <c r="I506" s="278">
        <v>0</v>
      </c>
      <c r="J506" s="285">
        <f t="shared" si="247"/>
        <v>1</v>
      </c>
      <c r="K506" s="60">
        <v>0</v>
      </c>
      <c r="L506" s="170">
        <f t="shared" si="248"/>
        <v>0</v>
      </c>
    </row>
    <row r="507" spans="1:12" ht="24.75" customHeight="1">
      <c r="A507" s="172" t="s">
        <v>27</v>
      </c>
      <c r="B507" s="395" t="s">
        <v>450</v>
      </c>
      <c r="C507" s="395"/>
      <c r="D507" s="171" t="s">
        <v>9</v>
      </c>
      <c r="E507" s="278">
        <v>0</v>
      </c>
      <c r="F507" s="278">
        <v>0</v>
      </c>
      <c r="G507" s="278">
        <v>0</v>
      </c>
      <c r="H507" s="278">
        <v>1</v>
      </c>
      <c r="I507" s="278">
        <v>0</v>
      </c>
      <c r="J507" s="285">
        <f t="shared" si="247"/>
        <v>1</v>
      </c>
      <c r="K507" s="60">
        <v>0</v>
      </c>
      <c r="L507" s="170">
        <f t="shared" si="248"/>
        <v>0</v>
      </c>
    </row>
    <row r="508" spans="1:12" ht="24.95" customHeight="1">
      <c r="A508" s="172" t="s">
        <v>27</v>
      </c>
      <c r="B508" s="173" t="s">
        <v>451</v>
      </c>
      <c r="C508" s="173"/>
      <c r="D508" s="171" t="s">
        <v>9</v>
      </c>
      <c r="E508" s="278">
        <v>0</v>
      </c>
      <c r="F508" s="278">
        <v>0</v>
      </c>
      <c r="G508" s="278">
        <v>0</v>
      </c>
      <c r="H508" s="278">
        <v>1</v>
      </c>
      <c r="I508" s="278">
        <v>0</v>
      </c>
      <c r="J508" s="285">
        <f t="shared" si="247"/>
        <v>1</v>
      </c>
      <c r="K508" s="60">
        <v>0</v>
      </c>
      <c r="L508" s="170">
        <f t="shared" si="248"/>
        <v>0</v>
      </c>
    </row>
    <row r="509" spans="1:12" ht="24.95" customHeight="1">
      <c r="A509" s="172" t="s">
        <v>28</v>
      </c>
      <c r="B509" s="173" t="s">
        <v>454</v>
      </c>
      <c r="C509" s="173"/>
      <c r="D509" s="171" t="s">
        <v>9</v>
      </c>
      <c r="E509" s="278">
        <v>0</v>
      </c>
      <c r="F509" s="278">
        <v>0</v>
      </c>
      <c r="G509" s="278">
        <v>1</v>
      </c>
      <c r="H509" s="278">
        <v>0</v>
      </c>
      <c r="I509" s="278">
        <v>0</v>
      </c>
      <c r="J509" s="285">
        <f t="shared" si="247"/>
        <v>1</v>
      </c>
      <c r="K509" s="60">
        <v>0</v>
      </c>
      <c r="L509" s="170">
        <f t="shared" si="248"/>
        <v>0</v>
      </c>
    </row>
    <row r="510" spans="1:12" ht="24.95" customHeight="1">
      <c r="A510" s="172" t="s">
        <v>27</v>
      </c>
      <c r="B510" s="395" t="s">
        <v>455</v>
      </c>
      <c r="C510" s="395"/>
      <c r="D510" s="171" t="s">
        <v>9</v>
      </c>
      <c r="E510" s="278">
        <v>0</v>
      </c>
      <c r="F510" s="278">
        <v>0</v>
      </c>
      <c r="G510" s="278">
        <v>1</v>
      </c>
      <c r="H510" s="278">
        <v>0</v>
      </c>
      <c r="I510" s="278">
        <v>0</v>
      </c>
      <c r="J510" s="285">
        <f t="shared" si="247"/>
        <v>1</v>
      </c>
      <c r="K510" s="60">
        <v>0</v>
      </c>
      <c r="L510" s="170">
        <f t="shared" si="248"/>
        <v>0</v>
      </c>
    </row>
    <row r="511" spans="1:12" ht="24.95" customHeight="1">
      <c r="A511" s="172" t="s">
        <v>27</v>
      </c>
      <c r="B511" s="173" t="s">
        <v>456</v>
      </c>
      <c r="C511" s="173"/>
      <c r="D511" s="171" t="s">
        <v>9</v>
      </c>
      <c r="E511" s="278">
        <v>0</v>
      </c>
      <c r="F511" s="278">
        <v>0</v>
      </c>
      <c r="G511" s="278">
        <v>1</v>
      </c>
      <c r="H511" s="278">
        <v>0</v>
      </c>
      <c r="I511" s="278">
        <v>0</v>
      </c>
      <c r="J511" s="285">
        <f t="shared" si="247"/>
        <v>1</v>
      </c>
      <c r="K511" s="60">
        <v>0</v>
      </c>
      <c r="L511" s="170">
        <f t="shared" si="248"/>
        <v>0</v>
      </c>
    </row>
    <row r="512" spans="1:12" ht="24.95" customHeight="1">
      <c r="A512" s="172" t="s">
        <v>28</v>
      </c>
      <c r="B512" s="173" t="s">
        <v>457</v>
      </c>
      <c r="C512" s="173"/>
      <c r="D512" s="171" t="s">
        <v>9</v>
      </c>
      <c r="E512" s="278">
        <v>0</v>
      </c>
      <c r="F512" s="278">
        <v>0</v>
      </c>
      <c r="G512" s="278">
        <v>1</v>
      </c>
      <c r="H512" s="278">
        <v>0</v>
      </c>
      <c r="I512" s="278">
        <v>0</v>
      </c>
      <c r="J512" s="285">
        <f t="shared" si="247"/>
        <v>1</v>
      </c>
      <c r="K512" s="60">
        <v>0</v>
      </c>
      <c r="L512" s="170">
        <f t="shared" si="248"/>
        <v>0</v>
      </c>
    </row>
    <row r="513" spans="1:12" ht="24.95" customHeight="1">
      <c r="A513" s="172" t="s">
        <v>27</v>
      </c>
      <c r="B513" s="395" t="s">
        <v>458</v>
      </c>
      <c r="C513" s="395"/>
      <c r="D513" s="171" t="s">
        <v>9</v>
      </c>
      <c r="E513" s="278">
        <v>0</v>
      </c>
      <c r="F513" s="278">
        <v>0</v>
      </c>
      <c r="G513" s="278">
        <v>1</v>
      </c>
      <c r="H513" s="278">
        <v>0</v>
      </c>
      <c r="I513" s="278">
        <v>0</v>
      </c>
      <c r="J513" s="285">
        <f t="shared" si="247"/>
        <v>1</v>
      </c>
      <c r="K513" s="60">
        <v>0</v>
      </c>
      <c r="L513" s="170">
        <f t="shared" si="248"/>
        <v>0</v>
      </c>
    </row>
    <row r="514" spans="1:12" ht="24.95" customHeight="1">
      <c r="A514" s="172" t="s">
        <v>27</v>
      </c>
      <c r="B514" s="173" t="s">
        <v>459</v>
      </c>
      <c r="C514" s="173"/>
      <c r="D514" s="171" t="s">
        <v>9</v>
      </c>
      <c r="E514" s="278">
        <v>0</v>
      </c>
      <c r="F514" s="278">
        <v>0</v>
      </c>
      <c r="G514" s="278">
        <v>1</v>
      </c>
      <c r="H514" s="278">
        <v>0</v>
      </c>
      <c r="I514" s="278">
        <v>0</v>
      </c>
      <c r="J514" s="285">
        <f t="shared" si="247"/>
        <v>1</v>
      </c>
      <c r="K514" s="60">
        <v>0</v>
      </c>
      <c r="L514" s="170">
        <f t="shared" si="248"/>
        <v>0</v>
      </c>
    </row>
    <row r="515" spans="1:12" ht="24.95" customHeight="1">
      <c r="A515" s="11"/>
      <c r="B515" s="445" t="s">
        <v>441</v>
      </c>
      <c r="C515" s="445"/>
      <c r="D515" s="22"/>
      <c r="E515" s="237"/>
      <c r="F515" s="237"/>
      <c r="G515" s="237"/>
      <c r="H515" s="237"/>
      <c r="I515" s="237"/>
      <c r="J515" s="239"/>
      <c r="K515" s="23"/>
      <c r="L515" s="65">
        <f>SUM(L500:L514)</f>
        <v>0</v>
      </c>
    </row>
    <row r="516" spans="1:12" ht="37.5" customHeight="1">
      <c r="A516" s="94"/>
      <c r="B516" s="442" t="s">
        <v>461</v>
      </c>
      <c r="C516" s="442"/>
      <c r="D516" s="442"/>
      <c r="E516" s="442"/>
      <c r="F516" s="442"/>
      <c r="G516" s="442"/>
      <c r="H516" s="442"/>
      <c r="I516" s="442"/>
      <c r="J516" s="442"/>
      <c r="K516" s="442"/>
      <c r="L516" s="99">
        <f>SUM(L515,L496,L492,L487,L481)</f>
        <v>0</v>
      </c>
    </row>
    <row r="517" spans="1:12" ht="24.95" customHeight="1">
      <c r="A517" s="105"/>
      <c r="B517" s="431" t="s">
        <v>192</v>
      </c>
      <c r="C517" s="432"/>
      <c r="D517" s="432"/>
      <c r="E517" s="432"/>
      <c r="F517" s="432"/>
      <c r="G517" s="432"/>
      <c r="H517" s="432"/>
      <c r="I517" s="432"/>
      <c r="J517" s="432"/>
      <c r="K517" s="432"/>
      <c r="L517" s="433"/>
    </row>
    <row r="518" spans="1:12" ht="24.95" customHeight="1">
      <c r="A518" s="105"/>
      <c r="B518" s="434" t="s">
        <v>163</v>
      </c>
      <c r="C518" s="435"/>
      <c r="D518" s="435"/>
      <c r="E518" s="435"/>
      <c r="F518" s="435"/>
      <c r="G518" s="435"/>
      <c r="H518" s="435"/>
      <c r="I518" s="435"/>
      <c r="J518" s="435"/>
      <c r="K518" s="435"/>
      <c r="L518" s="436"/>
    </row>
    <row r="519" spans="1:12" ht="24.95" customHeight="1">
      <c r="A519" s="82"/>
      <c r="B519" s="434" t="s">
        <v>164</v>
      </c>
      <c r="C519" s="435"/>
      <c r="D519" s="435"/>
      <c r="E519" s="435"/>
      <c r="F519" s="435"/>
      <c r="G519" s="435"/>
      <c r="H519" s="435"/>
      <c r="I519" s="435"/>
      <c r="J519" s="435"/>
      <c r="K519" s="435"/>
      <c r="L519" s="436"/>
    </row>
    <row r="520" spans="1:12" ht="24.95" customHeight="1">
      <c r="A520" s="13"/>
      <c r="D520" s="12"/>
      <c r="E520" s="246"/>
      <c r="F520" s="246"/>
      <c r="G520" s="246"/>
      <c r="H520" s="246"/>
      <c r="I520" s="246"/>
      <c r="J520" s="247"/>
      <c r="K520" s="14"/>
      <c r="L520" s="69"/>
    </row>
    <row r="521" spans="1:16" ht="24.95" customHeight="1">
      <c r="A521" s="532" t="s">
        <v>511</v>
      </c>
      <c r="B521" s="532"/>
      <c r="C521" s="532"/>
      <c r="D521" s="532"/>
      <c r="E521" s="532"/>
      <c r="F521" s="532"/>
      <c r="G521" s="532"/>
      <c r="H521" s="532"/>
      <c r="I521" s="532"/>
      <c r="J521" s="532"/>
      <c r="K521" s="532"/>
      <c r="L521" s="532"/>
      <c r="M521" s="532"/>
      <c r="N521" s="532"/>
      <c r="O521" s="532"/>
      <c r="P521" s="532"/>
    </row>
    <row r="522" spans="1:11" ht="12.7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</row>
  </sheetData>
  <sheetProtection selectLockedCells="1" selectUnlockedCells="1"/>
  <mergeCells count="495">
    <mergeCell ref="L232:L233"/>
    <mergeCell ref="B289:C289"/>
    <mergeCell ref="B290:C290"/>
    <mergeCell ref="B291:C291"/>
    <mergeCell ref="B292:C292"/>
    <mergeCell ref="B320:C320"/>
    <mergeCell ref="B325:C325"/>
    <mergeCell ref="A521:P521"/>
    <mergeCell ref="E431:J431"/>
    <mergeCell ref="B486:C486"/>
    <mergeCell ref="B60:K60"/>
    <mergeCell ref="B58:K58"/>
    <mergeCell ref="B56:K56"/>
    <mergeCell ref="B54:K54"/>
    <mergeCell ref="A167:A168"/>
    <mergeCell ref="B167:C168"/>
    <mergeCell ref="D167:D168"/>
    <mergeCell ref="E167:J167"/>
    <mergeCell ref="K167:K168"/>
    <mergeCell ref="A232:A233"/>
    <mergeCell ref="B232:C233"/>
    <mergeCell ref="D232:D233"/>
    <mergeCell ref="E232:J232"/>
    <mergeCell ref="K232:K233"/>
    <mergeCell ref="B29:K29"/>
    <mergeCell ref="B212:L212"/>
    <mergeCell ref="B231:L231"/>
    <mergeCell ref="B230:K230"/>
    <mergeCell ref="A213:A214"/>
    <mergeCell ref="B213:C214"/>
    <mergeCell ref="D213:D214"/>
    <mergeCell ref="E213:J213"/>
    <mergeCell ref="K213:K214"/>
    <mergeCell ref="L213:L214"/>
    <mergeCell ref="L167:L168"/>
    <mergeCell ref="A85:A86"/>
    <mergeCell ref="A102:A103"/>
    <mergeCell ref="B84:C84"/>
    <mergeCell ref="E85:J85"/>
    <mergeCell ref="K85:K86"/>
    <mergeCell ref="B76:L76"/>
    <mergeCell ref="B206:C206"/>
    <mergeCell ref="B200:L200"/>
    <mergeCell ref="B203:C203"/>
    <mergeCell ref="B196:C196"/>
    <mergeCell ref="B201:C202"/>
    <mergeCell ref="D201:D202"/>
    <mergeCell ref="B197:C197"/>
    <mergeCell ref="C3:H3"/>
    <mergeCell ref="C4:H4"/>
    <mergeCell ref="C5:H5"/>
    <mergeCell ref="C7:E7"/>
    <mergeCell ref="C8:E8"/>
    <mergeCell ref="C9:E9"/>
    <mergeCell ref="C34:H34"/>
    <mergeCell ref="B295:C295"/>
    <mergeCell ref="B319:C319"/>
    <mergeCell ref="B242:C242"/>
    <mergeCell ref="B244:C244"/>
    <mergeCell ref="B299:C299"/>
    <mergeCell ref="B288:L288"/>
    <mergeCell ref="B293:C293"/>
    <mergeCell ref="D254:D255"/>
    <mergeCell ref="E300:J300"/>
    <mergeCell ref="K286:K287"/>
    <mergeCell ref="B246:C246"/>
    <mergeCell ref="B85:B86"/>
    <mergeCell ref="C85:C86"/>
    <mergeCell ref="D85:D86"/>
    <mergeCell ref="B102:B103"/>
    <mergeCell ref="C102:C103"/>
    <mergeCell ref="D102:D103"/>
    <mergeCell ref="B321:C321"/>
    <mergeCell ref="B322:C322"/>
    <mergeCell ref="B235:C235"/>
    <mergeCell ref="B243:C243"/>
    <mergeCell ref="E388:J388"/>
    <mergeCell ref="E408:J408"/>
    <mergeCell ref="B389:K389"/>
    <mergeCell ref="B409:K409"/>
    <mergeCell ref="B394:C394"/>
    <mergeCell ref="B275:C275"/>
    <mergeCell ref="B282:C282"/>
    <mergeCell ref="B277:C277"/>
    <mergeCell ref="B294:C294"/>
    <mergeCell ref="B378:C378"/>
    <mergeCell ref="B352:C353"/>
    <mergeCell ref="D352:D353"/>
    <mergeCell ref="E352:J352"/>
    <mergeCell ref="B306:C306"/>
    <mergeCell ref="E254:J254"/>
    <mergeCell ref="K254:K255"/>
    <mergeCell ref="B361:C361"/>
    <mergeCell ref="B399:C399"/>
    <mergeCell ref="B393:L393"/>
    <mergeCell ref="E391:J391"/>
    <mergeCell ref="A254:A255"/>
    <mergeCell ref="B254:C255"/>
    <mergeCell ref="B406:C406"/>
    <mergeCell ref="B407:C407"/>
    <mergeCell ref="B408:C408"/>
    <mergeCell ref="A300:A301"/>
    <mergeCell ref="B303:C303"/>
    <mergeCell ref="B300:C301"/>
    <mergeCell ref="B369:K369"/>
    <mergeCell ref="B304:C304"/>
    <mergeCell ref="B271:C271"/>
    <mergeCell ref="B357:C357"/>
    <mergeCell ref="B362:C362"/>
    <mergeCell ref="B363:C363"/>
    <mergeCell ref="B337:C337"/>
    <mergeCell ref="B334:L334"/>
    <mergeCell ref="B354:L354"/>
    <mergeCell ref="B359:C359"/>
    <mergeCell ref="B360:C360"/>
    <mergeCell ref="B336:C336"/>
    <mergeCell ref="B335:C335"/>
    <mergeCell ref="B343:C343"/>
    <mergeCell ref="B347:C347"/>
    <mergeCell ref="B345:C345"/>
    <mergeCell ref="B422:L422"/>
    <mergeCell ref="L477:L478"/>
    <mergeCell ref="L300:L301"/>
    <mergeCell ref="B415:C415"/>
    <mergeCell ref="B331:C331"/>
    <mergeCell ref="B410:L410"/>
    <mergeCell ref="B383:C383"/>
    <mergeCell ref="B420:C420"/>
    <mergeCell ref="B417:C417"/>
    <mergeCell ref="B431:C431"/>
    <mergeCell ref="B426:C426"/>
    <mergeCell ref="B428:C428"/>
    <mergeCell ref="B424:C424"/>
    <mergeCell ref="B425:C425"/>
    <mergeCell ref="B450:C450"/>
    <mergeCell ref="B451:C451"/>
    <mergeCell ref="B452:C452"/>
    <mergeCell ref="K300:K301"/>
    <mergeCell ref="B348:C348"/>
    <mergeCell ref="B368:C368"/>
    <mergeCell ref="B355:C355"/>
    <mergeCell ref="B356:C356"/>
    <mergeCell ref="B419:C419"/>
    <mergeCell ref="B418:C418"/>
    <mergeCell ref="L352:L353"/>
    <mergeCell ref="K352:K353"/>
    <mergeCell ref="B351:C351"/>
    <mergeCell ref="B286:C287"/>
    <mergeCell ref="B312:C312"/>
    <mergeCell ref="B261:C261"/>
    <mergeCell ref="B267:C267"/>
    <mergeCell ref="B272:C272"/>
    <mergeCell ref="B266:C266"/>
    <mergeCell ref="B296:C296"/>
    <mergeCell ref="B323:C323"/>
    <mergeCell ref="B270:C270"/>
    <mergeCell ref="B324:C324"/>
    <mergeCell ref="B342:C342"/>
    <mergeCell ref="B349:C349"/>
    <mergeCell ref="B326:C326"/>
    <mergeCell ref="B340:C340"/>
    <mergeCell ref="B344:C344"/>
    <mergeCell ref="B346:C346"/>
    <mergeCell ref="B339:C339"/>
    <mergeCell ref="B307:C307"/>
    <mergeCell ref="B309:C309"/>
    <mergeCell ref="B308:C308"/>
    <mergeCell ref="B328:C328"/>
    <mergeCell ref="L254:L255"/>
    <mergeCell ref="B165:C165"/>
    <mergeCell ref="E102:J102"/>
    <mergeCell ref="K102:K103"/>
    <mergeCell ref="L102:L103"/>
    <mergeCell ref="B114:C114"/>
    <mergeCell ref="B123:L123"/>
    <mergeCell ref="B128:C128"/>
    <mergeCell ref="B104:L104"/>
    <mergeCell ref="B120:C120"/>
    <mergeCell ref="B146:C146"/>
    <mergeCell ref="B154:C154"/>
    <mergeCell ref="B150:C150"/>
    <mergeCell ref="B151:C151"/>
    <mergeCell ref="B152:C152"/>
    <mergeCell ref="B149:C149"/>
    <mergeCell ref="L140:L141"/>
    <mergeCell ref="B153:L153"/>
    <mergeCell ref="B155:C155"/>
    <mergeCell ref="B156:C156"/>
    <mergeCell ref="B140:C141"/>
    <mergeCell ref="B181:C181"/>
    <mergeCell ref="B175:L175"/>
    <mergeCell ref="B205:C205"/>
    <mergeCell ref="B198:C198"/>
    <mergeCell ref="B204:C204"/>
    <mergeCell ref="B162:L162"/>
    <mergeCell ref="B163:C163"/>
    <mergeCell ref="B147:C147"/>
    <mergeCell ref="B148:L148"/>
    <mergeCell ref="L85:L86"/>
    <mergeCell ref="B101:C101"/>
    <mergeCell ref="B381:L381"/>
    <mergeCell ref="B192:C192"/>
    <mergeCell ref="B188:C188"/>
    <mergeCell ref="B185:L185"/>
    <mergeCell ref="B186:C186"/>
    <mergeCell ref="B187:C187"/>
    <mergeCell ref="B193:C193"/>
    <mergeCell ref="B194:C194"/>
    <mergeCell ref="B195:L195"/>
    <mergeCell ref="B189:C189"/>
    <mergeCell ref="B182:C182"/>
    <mergeCell ref="B183:C183"/>
    <mergeCell ref="B184:C184"/>
    <mergeCell ref="B190:L190"/>
    <mergeCell ref="B191:C191"/>
    <mergeCell ref="B177:C177"/>
    <mergeCell ref="B411:C412"/>
    <mergeCell ref="K411:K412"/>
    <mergeCell ref="L411:L412"/>
    <mergeCell ref="B413:L413"/>
    <mergeCell ref="B367:C367"/>
    <mergeCell ref="B365:C365"/>
    <mergeCell ref="B366:C366"/>
    <mergeCell ref="B379:C379"/>
    <mergeCell ref="B390:L390"/>
    <mergeCell ref="B395:C395"/>
    <mergeCell ref="B403:C403"/>
    <mergeCell ref="B397:C397"/>
    <mergeCell ref="B388:C388"/>
    <mergeCell ref="B376:C376"/>
    <mergeCell ref="B396:C396"/>
    <mergeCell ref="D411:D412"/>
    <mergeCell ref="B401:L401"/>
    <mergeCell ref="B404:C404"/>
    <mergeCell ref="B405:C405"/>
    <mergeCell ref="B385:C385"/>
    <mergeCell ref="B374:C374"/>
    <mergeCell ref="B370:L370"/>
    <mergeCell ref="B373:L373"/>
    <mergeCell ref="B398:C398"/>
    <mergeCell ref="B209:C209"/>
    <mergeCell ref="E224:J224"/>
    <mergeCell ref="B217:C217"/>
    <mergeCell ref="B218:C218"/>
    <mergeCell ref="B219:C219"/>
    <mergeCell ref="B216:L216"/>
    <mergeCell ref="B215:L215"/>
    <mergeCell ref="B224:C224"/>
    <mergeCell ref="B222:C222"/>
    <mergeCell ref="B432:K432"/>
    <mergeCell ref="B239:C239"/>
    <mergeCell ref="B247:C247"/>
    <mergeCell ref="B226:L226"/>
    <mergeCell ref="B223:C223"/>
    <mergeCell ref="B310:C310"/>
    <mergeCell ref="B317:C317"/>
    <mergeCell ref="B241:C241"/>
    <mergeCell ref="D300:D301"/>
    <mergeCell ref="B234:L234"/>
    <mergeCell ref="B236:C236"/>
    <mergeCell ref="B238:C238"/>
    <mergeCell ref="B229:C229"/>
    <mergeCell ref="L286:L287"/>
    <mergeCell ref="B253:C253"/>
    <mergeCell ref="B250:C250"/>
    <mergeCell ref="B240:C240"/>
    <mergeCell ref="B245:C245"/>
    <mergeCell ref="B227:C227"/>
    <mergeCell ref="B237:C237"/>
    <mergeCell ref="B400:C400"/>
    <mergeCell ref="B402:C402"/>
    <mergeCell ref="B380:C380"/>
    <mergeCell ref="B225:C225"/>
    <mergeCell ref="L371:L372"/>
    <mergeCell ref="L391:L392"/>
    <mergeCell ref="B375:C375"/>
    <mergeCell ref="B364:C364"/>
    <mergeCell ref="D140:D141"/>
    <mergeCell ref="B142:L142"/>
    <mergeCell ref="B143:L143"/>
    <mergeCell ref="B144:C144"/>
    <mergeCell ref="B145:C145"/>
    <mergeCell ref="B176:C176"/>
    <mergeCell ref="B179:C179"/>
    <mergeCell ref="B180:L180"/>
    <mergeCell ref="E201:J201"/>
    <mergeCell ref="K201:K202"/>
    <mergeCell ref="L201:L202"/>
    <mergeCell ref="B228:C228"/>
    <mergeCell ref="B170:L170"/>
    <mergeCell ref="B158:L158"/>
    <mergeCell ref="B169:L169"/>
    <mergeCell ref="B164:C164"/>
    <mergeCell ref="E228:J228"/>
    <mergeCell ref="B178:C178"/>
    <mergeCell ref="B220:C220"/>
    <mergeCell ref="B207:L207"/>
    <mergeCell ref="B65:L65"/>
    <mergeCell ref="B68:L68"/>
    <mergeCell ref="K140:K141"/>
    <mergeCell ref="E140:J140"/>
    <mergeCell ref="B139:L139"/>
    <mergeCell ref="B157:C157"/>
    <mergeCell ref="B172:C172"/>
    <mergeCell ref="B173:C173"/>
    <mergeCell ref="B174:C174"/>
    <mergeCell ref="A66:A67"/>
    <mergeCell ref="B66:B67"/>
    <mergeCell ref="C66:C67"/>
    <mergeCell ref="B138:K138"/>
    <mergeCell ref="L66:L67"/>
    <mergeCell ref="K66:K67"/>
    <mergeCell ref="D66:D67"/>
    <mergeCell ref="B75:C75"/>
    <mergeCell ref="E66:J66"/>
    <mergeCell ref="B87:L87"/>
    <mergeCell ref="B137:C137"/>
    <mergeCell ref="B115:L115"/>
    <mergeCell ref="A121:A122"/>
    <mergeCell ref="B121:B122"/>
    <mergeCell ref="C121:C122"/>
    <mergeCell ref="D121:D122"/>
    <mergeCell ref="E121:J121"/>
    <mergeCell ref="K121:K122"/>
    <mergeCell ref="L121:L122"/>
    <mergeCell ref="B129:L129"/>
    <mergeCell ref="B136:C136"/>
    <mergeCell ref="B423:C423"/>
    <mergeCell ref="B414:C414"/>
    <mergeCell ref="B416:C416"/>
    <mergeCell ref="A332:A333"/>
    <mergeCell ref="B350:C350"/>
    <mergeCell ref="B482:L482"/>
    <mergeCell ref="B484:C484"/>
    <mergeCell ref="B487:C487"/>
    <mergeCell ref="B483:C483"/>
    <mergeCell ref="B463:C463"/>
    <mergeCell ref="B446:C446"/>
    <mergeCell ref="B447:C447"/>
    <mergeCell ref="B448:C448"/>
    <mergeCell ref="B391:C392"/>
    <mergeCell ref="D391:D392"/>
    <mergeCell ref="D332:D333"/>
    <mergeCell ref="E332:J332"/>
    <mergeCell ref="B445:C445"/>
    <mergeCell ref="D434:D435"/>
    <mergeCell ref="E434:J434"/>
    <mergeCell ref="B377:C377"/>
    <mergeCell ref="B382:C382"/>
    <mergeCell ref="B387:C387"/>
    <mergeCell ref="B384:C384"/>
    <mergeCell ref="B516:K516"/>
    <mergeCell ref="B488:L488"/>
    <mergeCell ref="B471:C471"/>
    <mergeCell ref="B472:C472"/>
    <mergeCell ref="B465:K465"/>
    <mergeCell ref="B461:C461"/>
    <mergeCell ref="B462:C462"/>
    <mergeCell ref="B458:C458"/>
    <mergeCell ref="B459:C459"/>
    <mergeCell ref="B476:L476"/>
    <mergeCell ref="B481:C481"/>
    <mergeCell ref="B469:C469"/>
    <mergeCell ref="B470:C470"/>
    <mergeCell ref="B489:C489"/>
    <mergeCell ref="B492:C492"/>
    <mergeCell ref="B479:L479"/>
    <mergeCell ref="B480:C480"/>
    <mergeCell ref="B490:C490"/>
    <mergeCell ref="B475:K475"/>
    <mergeCell ref="B466:L466"/>
    <mergeCell ref="B515:C515"/>
    <mergeCell ref="B493:L493"/>
    <mergeCell ref="B494:C494"/>
    <mergeCell ref="B496:C496"/>
    <mergeCell ref="B517:L517"/>
    <mergeCell ref="B518:L518"/>
    <mergeCell ref="B519:L519"/>
    <mergeCell ref="E411:J411"/>
    <mergeCell ref="B338:C338"/>
    <mergeCell ref="B386:C386"/>
    <mergeCell ref="B460:C460"/>
    <mergeCell ref="A352:A353"/>
    <mergeCell ref="A371:A372"/>
    <mergeCell ref="B371:C372"/>
    <mergeCell ref="A411:A412"/>
    <mergeCell ref="B430:C430"/>
    <mergeCell ref="B421:C421"/>
    <mergeCell ref="B427:C427"/>
    <mergeCell ref="B429:C429"/>
    <mergeCell ref="B433:L433"/>
    <mergeCell ref="B444:C444"/>
    <mergeCell ref="B437:C437"/>
    <mergeCell ref="B438:C438"/>
    <mergeCell ref="B439:C439"/>
    <mergeCell ref="B440:C440"/>
    <mergeCell ref="B441:C441"/>
    <mergeCell ref="B453:C453"/>
    <mergeCell ref="A391:A392"/>
    <mergeCell ref="A286:A287"/>
    <mergeCell ref="B274:C274"/>
    <mergeCell ref="B265:C265"/>
    <mergeCell ref="D371:D372"/>
    <mergeCell ref="E371:J371"/>
    <mergeCell ref="K371:K372"/>
    <mergeCell ref="K391:K392"/>
    <mergeCell ref="B269:C269"/>
    <mergeCell ref="B316:C316"/>
    <mergeCell ref="B313:C313"/>
    <mergeCell ref="B268:C268"/>
    <mergeCell ref="B281:C281"/>
    <mergeCell ref="B315:C315"/>
    <mergeCell ref="B305:C305"/>
    <mergeCell ref="B285:C285"/>
    <mergeCell ref="B302:L302"/>
    <mergeCell ref="B278:C278"/>
    <mergeCell ref="B314:C314"/>
    <mergeCell ref="B298:C298"/>
    <mergeCell ref="B276:C276"/>
    <mergeCell ref="B279:C279"/>
    <mergeCell ref="B311:C311"/>
    <mergeCell ref="B297:C297"/>
    <mergeCell ref="B332:C333"/>
    <mergeCell ref="A201:A202"/>
    <mergeCell ref="B171:C171"/>
    <mergeCell ref="A140:A141"/>
    <mergeCell ref="B260:C260"/>
    <mergeCell ref="B259:C259"/>
    <mergeCell ref="B248:L248"/>
    <mergeCell ref="B249:C249"/>
    <mergeCell ref="B264:C264"/>
    <mergeCell ref="B280:C280"/>
    <mergeCell ref="B256:L256"/>
    <mergeCell ref="B273:C273"/>
    <mergeCell ref="B251:C251"/>
    <mergeCell ref="B252:C252"/>
    <mergeCell ref="B263:C263"/>
    <mergeCell ref="B262:C262"/>
    <mergeCell ref="B257:C257"/>
    <mergeCell ref="B258:C258"/>
    <mergeCell ref="B159:C159"/>
    <mergeCell ref="B160:C160"/>
    <mergeCell ref="B161:C161"/>
    <mergeCell ref="B210:K210"/>
    <mergeCell ref="B211:K211"/>
    <mergeCell ref="B221:C221"/>
    <mergeCell ref="B208:C208"/>
    <mergeCell ref="B327:C327"/>
    <mergeCell ref="K332:K333"/>
    <mergeCell ref="L332:L333"/>
    <mergeCell ref="B341:C341"/>
    <mergeCell ref="B318:C318"/>
    <mergeCell ref="D286:D287"/>
    <mergeCell ref="E286:J286"/>
    <mergeCell ref="A467:A468"/>
    <mergeCell ref="B467:C468"/>
    <mergeCell ref="D467:D468"/>
    <mergeCell ref="E467:J467"/>
    <mergeCell ref="K467:K468"/>
    <mergeCell ref="L467:L468"/>
    <mergeCell ref="K434:K435"/>
    <mergeCell ref="L434:L435"/>
    <mergeCell ref="B464:K464"/>
    <mergeCell ref="B449:C449"/>
    <mergeCell ref="B454:C454"/>
    <mergeCell ref="B455:C455"/>
    <mergeCell ref="B456:C456"/>
    <mergeCell ref="B457:C457"/>
    <mergeCell ref="B436:L436"/>
    <mergeCell ref="B442:C442"/>
    <mergeCell ref="B443:C443"/>
    <mergeCell ref="B499:L499"/>
    <mergeCell ref="B500:C500"/>
    <mergeCell ref="B501:C501"/>
    <mergeCell ref="B504:C504"/>
    <mergeCell ref="B507:C507"/>
    <mergeCell ref="B510:C510"/>
    <mergeCell ref="B513:C513"/>
    <mergeCell ref="B495:C495"/>
    <mergeCell ref="A434:A435"/>
    <mergeCell ref="A497:A498"/>
    <mergeCell ref="B497:C498"/>
    <mergeCell ref="D497:D498"/>
    <mergeCell ref="E497:J497"/>
    <mergeCell ref="K497:K498"/>
    <mergeCell ref="L497:L498"/>
    <mergeCell ref="B491:C491"/>
    <mergeCell ref="B473:C473"/>
    <mergeCell ref="B474:C474"/>
    <mergeCell ref="A477:A478"/>
    <mergeCell ref="B477:C478"/>
    <mergeCell ref="D477:D478"/>
    <mergeCell ref="E477:J477"/>
    <mergeCell ref="K477:K478"/>
    <mergeCell ref="B434:C435"/>
  </mergeCells>
  <printOptions/>
  <pageMargins left="0.3937007874015748" right="0.31496062992125984" top="0.3937007874015748" bottom="0.3937007874015748" header="0.5118110236220472" footer="0.5118110236220472"/>
  <pageSetup fitToHeight="0" fitToWidth="1" horizontalDpi="300" verticalDpi="300" orientation="landscape" paperSize="9" scale="59" r:id="rId1"/>
  <rowBreaks count="22" manualBreakCount="22">
    <brk id="31" max="16383" man="1"/>
    <brk id="64" max="16383" man="1"/>
    <brk id="84" max="16383" man="1"/>
    <brk id="101" max="16383" man="1"/>
    <brk id="120" max="16383" man="1"/>
    <brk id="138" max="16383" man="1"/>
    <brk id="166" max="16383" man="1"/>
    <brk id="200" max="16383" man="1"/>
    <brk id="211" max="16383" man="1"/>
    <brk id="230" max="16383" man="1"/>
    <brk id="253" max="16383" man="1"/>
    <brk id="285" max="16383" man="1"/>
    <brk id="299" max="16383" man="1"/>
    <brk id="331" max="16383" man="1"/>
    <brk id="351" max="16383" man="1"/>
    <brk id="369" max="16383" man="1"/>
    <brk id="389" max="16383" man="1"/>
    <brk id="409" max="16383" man="1"/>
    <brk id="432" max="16383" man="1"/>
    <brk id="465" max="16383" man="1"/>
    <brk id="475" max="16383" man="1"/>
    <brk id="4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smradoch</dc:creator>
  <cp:keywords/>
  <dc:description/>
  <cp:lastModifiedBy>Eliška Luhanová</cp:lastModifiedBy>
  <cp:lastPrinted>2020-04-21T09:54:41Z</cp:lastPrinted>
  <dcterms:created xsi:type="dcterms:W3CDTF">2014-02-15T18:10:23Z</dcterms:created>
  <dcterms:modified xsi:type="dcterms:W3CDTF">2020-04-21T11:24:35Z</dcterms:modified>
  <cp:category/>
  <cp:version/>
  <cp:contentType/>
  <cp:contentStatus/>
</cp:coreProperties>
</file>